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autoCompressPictures="0"/>
  <mc:AlternateContent xmlns:mc="http://schemas.openxmlformats.org/markup-compatibility/2006">
    <mc:Choice Requires="x15">
      <x15ac:absPath xmlns:x15ac="http://schemas.microsoft.com/office/spreadsheetml/2010/11/ac" url="M:\Szakkepzes_Felnottoktatas\Iroda\Otthon\JBI\2020C2\palyazati-dokumentumok\"/>
    </mc:Choice>
  </mc:AlternateContent>
  <workbookProtection workbookPassword="B516" lockStructure="1"/>
  <bookViews>
    <workbookView xWindow="0" yWindow="2265" windowWidth="28800" windowHeight="17535" tabRatio="1000"/>
  </bookViews>
  <sheets>
    <sheet name="Kitöltési útmutató" sheetId="17" r:id="rId1"/>
    <sheet name="Overview" sheetId="14" r:id="rId2"/>
    <sheet name="Munkaterv-GANTT" sheetId="18" r:id="rId3"/>
    <sheet name="Management" sheetId="15" r:id="rId4"/>
    <sheet name="Partner meetings" sheetId="16" r:id="rId5"/>
    <sheet name="Intellectual outputs" sheetId="1" r:id="rId6"/>
    <sheet name="Multiplier events" sheetId="5" r:id="rId7"/>
    <sheet name="HED Transnat. training-teaching" sheetId="22" r:id="rId8"/>
    <sheet name="VET Transnat. training-teaching" sheetId="4" r:id="rId9"/>
    <sheet name="ADU Transnat. training-teaching" sheetId="21" r:id="rId10"/>
    <sheet name="SCH Transnat. training-teaching" sheetId="19" r:id="rId11"/>
    <sheet name="YOU Transnat. training-teach" sheetId="20" r:id="rId12"/>
    <sheet name="Exceptional costs" sheetId="6" r:id="rId13"/>
    <sheet name="Except. costs - ExpensiveTravel" sheetId="23" r:id="rId14"/>
    <sheet name="Special needs" sheetId="8" r:id="rId15"/>
    <sheet name="Total grant requested" sheetId="2" r:id="rId16"/>
    <sheet name="Ceilings" sheetId="12" state="hidden" r:id="rId17"/>
  </sheets>
  <definedNames>
    <definedName name="_xlnm._FilterDatabase" localSheetId="16" hidden="1">Ceilings!$A$3:$Q$66</definedName>
    <definedName name="_xlnm._FilterDatabase" localSheetId="1" hidden="1">Overview!#REF!</definedName>
    <definedName name="A_Activity_t">Ceilings!$J$51:$J$53</definedName>
    <definedName name="Activity_t">Ceilings!$J$39</definedName>
    <definedName name="Ceilings">Ceilings!$B$5:$G$63</definedName>
    <definedName name="Countries">Ceilings!$A$4:$A$203</definedName>
    <definedName name="CountriesofPs">Management!$B$6:$B$25</definedName>
    <definedName name="dCountries">Ceilings!$M$4:$M$36</definedName>
    <definedName name="Distances">Ceilings!$X$4:$X$11</definedName>
    <definedName name="Duration">Ceilings!$J$9:$J$33</definedName>
    <definedName name="End">Overview!$C$11</definedName>
    <definedName name="EUint">Ceilings!$M$63:$M$66</definedName>
    <definedName name="H_Activity_t">Ceilings!$J$54:$J$59</definedName>
    <definedName name="Limit">Ceilings!$J$9:$K$33</definedName>
    <definedName name="_xlnm.Print_Titles" localSheetId="9">'ADU Transnat. training-teaching'!$4:$4</definedName>
    <definedName name="_xlnm.Print_Titles" localSheetId="13">'Except. costs - ExpensiveTravel'!$4:$4</definedName>
    <definedName name="_xlnm.Print_Titles" localSheetId="12">'Exceptional costs'!$4:$4</definedName>
    <definedName name="_xlnm.Print_Titles" localSheetId="7">'HED Transnat. training-teaching'!$4:$4</definedName>
    <definedName name="_xlnm.Print_Titles" localSheetId="5">'Intellectual outputs'!$3:$5</definedName>
    <definedName name="_xlnm.Print_Titles" localSheetId="6">'Multiplier events'!$4:$4</definedName>
    <definedName name="_xlnm.Print_Titles" localSheetId="4">'Partner meetings'!$4:$5</definedName>
    <definedName name="_xlnm.Print_Titles" localSheetId="10">'SCH Transnat. training-teaching'!$4:$4</definedName>
    <definedName name="_xlnm.Print_Titles" localSheetId="14">'Special needs'!$4:$4</definedName>
    <definedName name="_xlnm.Print_Titles" localSheetId="8">'VET Transnat. training-teaching'!$4:$4</definedName>
    <definedName name="_xlnm.Print_Titles" localSheetId="11">'YOU Transnat. training-teach'!$4:$4</definedName>
    <definedName name="_xlnm.Print_Area" localSheetId="16">Ceilings!$A$1:$I$65</definedName>
    <definedName name="_xlnm.Print_Area" localSheetId="13">'Except. costs - ExpensiveTravel'!$A$1:$F$36</definedName>
    <definedName name="_xlnm.Print_Area" localSheetId="12">'Exceptional costs'!$A$1:$F$36</definedName>
    <definedName name="_xlnm.Print_Area" localSheetId="0">'Kitöltési útmutató'!$A$1:$P$45</definedName>
    <definedName name="_xlnm.Print_Area" localSheetId="3">Management!$A$1:$F$25</definedName>
    <definedName name="_xlnm.Print_Area" localSheetId="6">'Multiplier events'!$A$3:$H$36</definedName>
    <definedName name="_xlnm.Print_Area" localSheetId="4">'Partner meetings'!$A$1:$J$108</definedName>
    <definedName name="_xlnm.Print_Area" localSheetId="15">'Total grant requested'!$A$1:$J$21</definedName>
    <definedName name="_xlnm.Print_Area" localSheetId="8">'VET Transnat. training-teaching'!$A$1:$S$106</definedName>
    <definedName name="Partners">Management!$A$10:$A$25</definedName>
    <definedName name="Partners1">Management!$A$8:$A$25</definedName>
    <definedName name="PCountries">Ceilings!$A$4:$A$38</definedName>
    <definedName name="Rates">Ceilings!$A$5:$G$63</definedName>
    <definedName name="S_Activity_t">Ceilings!$J$43:$J$47</definedName>
    <definedName name="Semmi">Ceilings!$N$68</definedName>
    <definedName name="Start">Overview!$C$9</definedName>
    <definedName name="Subsistence">Ceilings!$M$4:$Q$36</definedName>
    <definedName name="Topup">Ceilings!$Y$12</definedName>
    <definedName name="TravelGrant">Ceilings!$X$4:$Y$11</definedName>
    <definedName name="V_Activity_t">Ceilings!$J$39:$J$42</definedName>
    <definedName name="Y_Activity_t">Ceilings!$J$48:$J$50</definedName>
  </definedNames>
  <calcPr calcId="162913"/>
</workbook>
</file>

<file path=xl/calcChain.xml><?xml version="1.0" encoding="utf-8"?>
<calcChain xmlns="http://schemas.openxmlformats.org/spreadsheetml/2006/main">
  <c r="D9" i="14" l="1"/>
  <c r="C11" i="14" l="1"/>
  <c r="O106" i="20" l="1"/>
  <c r="O105" i="20"/>
  <c r="O104" i="20"/>
  <c r="O103" i="20"/>
  <c r="O102" i="20"/>
  <c r="O101" i="20"/>
  <c r="O100" i="20"/>
  <c r="O99" i="20"/>
  <c r="O98" i="20"/>
  <c r="O97" i="20"/>
  <c r="O96" i="20"/>
  <c r="O95" i="20"/>
  <c r="O94" i="20"/>
  <c r="O93" i="20"/>
  <c r="O92" i="20"/>
  <c r="O91" i="20"/>
  <c r="O90" i="20"/>
  <c r="O89" i="20"/>
  <c r="O88" i="20"/>
  <c r="O87" i="20"/>
  <c r="O86" i="20"/>
  <c r="O85" i="20"/>
  <c r="O84" i="20"/>
  <c r="O83" i="20"/>
  <c r="O82" i="20"/>
  <c r="O81" i="20"/>
  <c r="O80" i="20"/>
  <c r="O79" i="20"/>
  <c r="O78" i="20"/>
  <c r="O77" i="20"/>
  <c r="O76" i="20"/>
  <c r="O75" i="20"/>
  <c r="O74" i="20"/>
  <c r="O73" i="20"/>
  <c r="O72" i="20"/>
  <c r="O71" i="20"/>
  <c r="O70" i="20"/>
  <c r="O69" i="20"/>
  <c r="O68" i="20"/>
  <c r="O67" i="20"/>
  <c r="O66" i="20"/>
  <c r="O65" i="20"/>
  <c r="O64" i="20"/>
  <c r="O63" i="20"/>
  <c r="O62" i="20"/>
  <c r="O61" i="20"/>
  <c r="O60" i="20"/>
  <c r="O59" i="20"/>
  <c r="O58" i="20"/>
  <c r="O57" i="20"/>
  <c r="O56" i="20"/>
  <c r="O55" i="20"/>
  <c r="O54" i="20"/>
  <c r="O53" i="20"/>
  <c r="O52" i="20"/>
  <c r="O51" i="20"/>
  <c r="O50" i="20"/>
  <c r="O49" i="20"/>
  <c r="O48" i="20"/>
  <c r="O47" i="20"/>
  <c r="O46" i="20"/>
  <c r="O45" i="20"/>
  <c r="O44" i="20"/>
  <c r="O43" i="20"/>
  <c r="O42" i="20"/>
  <c r="O41" i="20"/>
  <c r="O40" i="20"/>
  <c r="O39" i="20"/>
  <c r="O38" i="20"/>
  <c r="O37" i="20"/>
  <c r="O36" i="20"/>
  <c r="O35" i="20"/>
  <c r="O34" i="20"/>
  <c r="O33" i="20"/>
  <c r="O32" i="20"/>
  <c r="O31" i="20"/>
  <c r="O30" i="20"/>
  <c r="O29" i="20"/>
  <c r="O28" i="20"/>
  <c r="O27" i="20"/>
  <c r="O26" i="20"/>
  <c r="O25" i="20"/>
  <c r="O24" i="20"/>
  <c r="O23" i="20"/>
  <c r="O22" i="20"/>
  <c r="O21" i="20"/>
  <c r="O20" i="20"/>
  <c r="O19" i="20"/>
  <c r="O18" i="20"/>
  <c r="O17" i="20"/>
  <c r="O16" i="20"/>
  <c r="O15" i="20"/>
  <c r="O14" i="20"/>
  <c r="O13" i="20"/>
  <c r="O12" i="20"/>
  <c r="O11" i="20"/>
  <c r="O10" i="20"/>
  <c r="O9" i="20"/>
  <c r="O8" i="20"/>
  <c r="O7" i="20"/>
  <c r="O106" i="19"/>
  <c r="N106" i="19"/>
  <c r="O105" i="19"/>
  <c r="N105" i="19"/>
  <c r="O104" i="19"/>
  <c r="N104" i="19"/>
  <c r="O103" i="19"/>
  <c r="N103" i="19"/>
  <c r="O102" i="19"/>
  <c r="N102" i="19"/>
  <c r="O101" i="19"/>
  <c r="N101" i="19"/>
  <c r="O100" i="19"/>
  <c r="N100" i="19"/>
  <c r="O99" i="19"/>
  <c r="N99" i="19"/>
  <c r="O98" i="19"/>
  <c r="N98" i="19"/>
  <c r="O97" i="19"/>
  <c r="N97" i="19"/>
  <c r="O96" i="19"/>
  <c r="N96" i="19"/>
  <c r="O95" i="19"/>
  <c r="N95" i="19"/>
  <c r="O94" i="19"/>
  <c r="N94" i="19"/>
  <c r="O93" i="19"/>
  <c r="N93" i="19"/>
  <c r="O92" i="19"/>
  <c r="N92" i="19"/>
  <c r="O91" i="19"/>
  <c r="N91" i="19"/>
  <c r="O90" i="19"/>
  <c r="N90" i="19"/>
  <c r="O89" i="19"/>
  <c r="N89" i="19"/>
  <c r="O88" i="19"/>
  <c r="N88" i="19"/>
  <c r="O87" i="19"/>
  <c r="N87" i="19"/>
  <c r="O86" i="19"/>
  <c r="N86" i="19"/>
  <c r="O85" i="19"/>
  <c r="N85" i="19"/>
  <c r="O84" i="19"/>
  <c r="N84" i="19"/>
  <c r="O83" i="19"/>
  <c r="N83" i="19"/>
  <c r="O82" i="19"/>
  <c r="N82" i="19"/>
  <c r="O81" i="19"/>
  <c r="N81" i="19"/>
  <c r="O80" i="19"/>
  <c r="N80" i="19"/>
  <c r="O79" i="19"/>
  <c r="N79" i="19"/>
  <c r="O78" i="19"/>
  <c r="N78" i="19"/>
  <c r="O77" i="19"/>
  <c r="N77" i="19"/>
  <c r="O76" i="19"/>
  <c r="N76" i="19"/>
  <c r="O75" i="19"/>
  <c r="N75" i="19"/>
  <c r="O74" i="19"/>
  <c r="N74" i="19"/>
  <c r="O73" i="19"/>
  <c r="N73" i="19"/>
  <c r="O72" i="19"/>
  <c r="N72" i="19"/>
  <c r="O71" i="19"/>
  <c r="N71" i="19"/>
  <c r="O70" i="19"/>
  <c r="N70" i="19"/>
  <c r="O69" i="19"/>
  <c r="N69" i="19"/>
  <c r="O68" i="19"/>
  <c r="N68" i="19"/>
  <c r="O67" i="19"/>
  <c r="N67" i="19"/>
  <c r="O66" i="19"/>
  <c r="N66" i="19"/>
  <c r="O65" i="19"/>
  <c r="N65" i="19"/>
  <c r="O64" i="19"/>
  <c r="N64" i="19"/>
  <c r="O63" i="19"/>
  <c r="N63" i="19"/>
  <c r="O62" i="19"/>
  <c r="N62" i="19"/>
  <c r="O61" i="19"/>
  <c r="N61" i="19"/>
  <c r="O60" i="19"/>
  <c r="N60" i="19"/>
  <c r="O59" i="19"/>
  <c r="N59" i="19"/>
  <c r="O58" i="19"/>
  <c r="N58" i="19"/>
  <c r="O57" i="19"/>
  <c r="N57" i="19"/>
  <c r="O56" i="19"/>
  <c r="N56" i="19"/>
  <c r="O55" i="19"/>
  <c r="N55" i="19"/>
  <c r="O54" i="19"/>
  <c r="N54" i="19"/>
  <c r="O53" i="19"/>
  <c r="N53" i="19"/>
  <c r="O52" i="19"/>
  <c r="N52" i="19"/>
  <c r="O51" i="19"/>
  <c r="N51" i="19"/>
  <c r="O50" i="19"/>
  <c r="N50" i="19"/>
  <c r="O49" i="19"/>
  <c r="N49" i="19"/>
  <c r="O48" i="19"/>
  <c r="N48" i="19"/>
  <c r="O47" i="19"/>
  <c r="N47" i="19"/>
  <c r="O46" i="19"/>
  <c r="N46" i="19"/>
  <c r="O45" i="19"/>
  <c r="N45" i="19"/>
  <c r="O44" i="19"/>
  <c r="N44" i="19"/>
  <c r="O43" i="19"/>
  <c r="N43" i="19"/>
  <c r="O42" i="19"/>
  <c r="N42" i="19"/>
  <c r="O41" i="19"/>
  <c r="N41" i="19"/>
  <c r="O40" i="19"/>
  <c r="N40" i="19"/>
  <c r="O39" i="19"/>
  <c r="N39" i="19"/>
  <c r="O38" i="19"/>
  <c r="N38" i="19"/>
  <c r="O37" i="19"/>
  <c r="N37" i="19"/>
  <c r="O36" i="19"/>
  <c r="N36" i="19"/>
  <c r="O35" i="19"/>
  <c r="N35" i="19"/>
  <c r="O34" i="19"/>
  <c r="N34" i="19"/>
  <c r="O33" i="19"/>
  <c r="N33" i="19"/>
  <c r="O32" i="19"/>
  <c r="N32" i="19"/>
  <c r="O31" i="19"/>
  <c r="N31" i="19"/>
  <c r="O30" i="19"/>
  <c r="N30" i="19"/>
  <c r="O29" i="19"/>
  <c r="N29" i="19"/>
  <c r="O28" i="19"/>
  <c r="N28" i="19"/>
  <c r="O27" i="19"/>
  <c r="N27" i="19"/>
  <c r="O26" i="19"/>
  <c r="N26" i="19"/>
  <c r="O25" i="19"/>
  <c r="N25" i="19"/>
  <c r="O24" i="19"/>
  <c r="N24" i="19"/>
  <c r="O23" i="19"/>
  <c r="N23" i="19"/>
  <c r="O22" i="19"/>
  <c r="N22" i="19"/>
  <c r="O21" i="19"/>
  <c r="N21" i="19"/>
  <c r="O20" i="19"/>
  <c r="N20" i="19"/>
  <c r="O19" i="19"/>
  <c r="N19" i="19"/>
  <c r="O18" i="19"/>
  <c r="N18" i="19"/>
  <c r="O17" i="19"/>
  <c r="N17" i="19"/>
  <c r="O16" i="19"/>
  <c r="N16" i="19"/>
  <c r="O15" i="19"/>
  <c r="N15" i="19"/>
  <c r="O14" i="19"/>
  <c r="N14" i="19"/>
  <c r="O13" i="19"/>
  <c r="N13" i="19"/>
  <c r="O12" i="19"/>
  <c r="N12" i="19"/>
  <c r="O11" i="19"/>
  <c r="N11" i="19"/>
  <c r="O10" i="19"/>
  <c r="N10" i="19"/>
  <c r="O9" i="19"/>
  <c r="N9" i="19"/>
  <c r="O8" i="19"/>
  <c r="N8" i="19"/>
  <c r="O7" i="19"/>
  <c r="N7" i="19"/>
  <c r="O106" i="21"/>
  <c r="N106" i="21"/>
  <c r="O105" i="21"/>
  <c r="N105" i="21"/>
  <c r="O104" i="21"/>
  <c r="N104" i="21"/>
  <c r="O103" i="21"/>
  <c r="N103" i="21"/>
  <c r="O102" i="21"/>
  <c r="N102" i="21"/>
  <c r="O101" i="21"/>
  <c r="N101" i="21"/>
  <c r="O100" i="21"/>
  <c r="N100" i="21"/>
  <c r="O99" i="21"/>
  <c r="N99" i="21"/>
  <c r="O98" i="21"/>
  <c r="N98" i="21"/>
  <c r="O97" i="21"/>
  <c r="N97" i="21"/>
  <c r="O96" i="21"/>
  <c r="N96" i="21"/>
  <c r="O95" i="21"/>
  <c r="N95" i="21"/>
  <c r="O94" i="21"/>
  <c r="N94" i="21"/>
  <c r="O93" i="21"/>
  <c r="N93" i="21"/>
  <c r="O92" i="21"/>
  <c r="N92" i="21"/>
  <c r="O91" i="21"/>
  <c r="N91" i="21"/>
  <c r="O90" i="21"/>
  <c r="N90" i="21"/>
  <c r="O89" i="21"/>
  <c r="N89" i="21"/>
  <c r="O88" i="21"/>
  <c r="N88" i="21"/>
  <c r="O87" i="21"/>
  <c r="N87" i="21"/>
  <c r="O86" i="21"/>
  <c r="N86" i="21"/>
  <c r="O85" i="21"/>
  <c r="N85" i="21"/>
  <c r="O84" i="21"/>
  <c r="N84" i="21"/>
  <c r="O83" i="21"/>
  <c r="N83" i="21"/>
  <c r="O82" i="21"/>
  <c r="N82" i="21"/>
  <c r="O81" i="21"/>
  <c r="N81" i="21"/>
  <c r="O80" i="21"/>
  <c r="N80" i="21"/>
  <c r="O79" i="21"/>
  <c r="N79" i="21"/>
  <c r="O78" i="21"/>
  <c r="N78" i="21"/>
  <c r="O77" i="21"/>
  <c r="N77" i="21"/>
  <c r="O76" i="21"/>
  <c r="N76" i="21"/>
  <c r="O75" i="21"/>
  <c r="N75" i="21"/>
  <c r="O74" i="21"/>
  <c r="N74" i="21"/>
  <c r="O73" i="21"/>
  <c r="N73" i="21"/>
  <c r="O72" i="21"/>
  <c r="N72" i="21"/>
  <c r="O71" i="21"/>
  <c r="N71" i="21"/>
  <c r="O70" i="21"/>
  <c r="N70" i="21"/>
  <c r="O69" i="21"/>
  <c r="N69" i="21"/>
  <c r="O68" i="21"/>
  <c r="N68" i="21"/>
  <c r="O67" i="21"/>
  <c r="N67" i="21"/>
  <c r="O66" i="21"/>
  <c r="N66" i="21"/>
  <c r="O65" i="21"/>
  <c r="N65" i="21"/>
  <c r="O64" i="21"/>
  <c r="N64" i="21"/>
  <c r="O63" i="21"/>
  <c r="N63" i="21"/>
  <c r="O62" i="21"/>
  <c r="N62" i="21"/>
  <c r="O61" i="21"/>
  <c r="N61" i="21"/>
  <c r="O60" i="21"/>
  <c r="N60" i="21"/>
  <c r="O59" i="21"/>
  <c r="N59" i="21"/>
  <c r="O58" i="21"/>
  <c r="N58" i="21"/>
  <c r="O57" i="21"/>
  <c r="N57" i="21"/>
  <c r="O56" i="21"/>
  <c r="N56" i="21"/>
  <c r="O55" i="21"/>
  <c r="N55" i="21"/>
  <c r="O54" i="21"/>
  <c r="N54" i="21"/>
  <c r="O53" i="21"/>
  <c r="N53" i="21"/>
  <c r="O52" i="21"/>
  <c r="N52" i="21"/>
  <c r="O51" i="21"/>
  <c r="N51" i="21"/>
  <c r="O50" i="21"/>
  <c r="N50" i="21"/>
  <c r="O49" i="21"/>
  <c r="N49" i="21"/>
  <c r="O48" i="21"/>
  <c r="N48" i="21"/>
  <c r="O47" i="21"/>
  <c r="N47" i="21"/>
  <c r="O46" i="21"/>
  <c r="N46" i="21"/>
  <c r="O45" i="21"/>
  <c r="N45" i="21"/>
  <c r="O44" i="21"/>
  <c r="N44" i="21"/>
  <c r="O43" i="21"/>
  <c r="N43" i="21"/>
  <c r="O42" i="21"/>
  <c r="N42" i="21"/>
  <c r="O41" i="21"/>
  <c r="N41" i="21"/>
  <c r="O40" i="21"/>
  <c r="N40" i="21"/>
  <c r="O39" i="21"/>
  <c r="N39" i="21"/>
  <c r="O38" i="21"/>
  <c r="N38" i="21"/>
  <c r="O37" i="21"/>
  <c r="N37" i="21"/>
  <c r="O36" i="21"/>
  <c r="N36" i="21"/>
  <c r="O35" i="21"/>
  <c r="N35" i="21"/>
  <c r="O34" i="21"/>
  <c r="N34" i="21"/>
  <c r="O33" i="21"/>
  <c r="N33" i="21"/>
  <c r="O32" i="21"/>
  <c r="N32" i="21"/>
  <c r="O31" i="21"/>
  <c r="N31" i="21"/>
  <c r="O30" i="21"/>
  <c r="N30" i="21"/>
  <c r="O29" i="21"/>
  <c r="N29" i="21"/>
  <c r="O28" i="21"/>
  <c r="N28" i="21"/>
  <c r="O27" i="21"/>
  <c r="N27" i="21"/>
  <c r="O26" i="21"/>
  <c r="N26" i="21"/>
  <c r="O25" i="21"/>
  <c r="N25" i="21"/>
  <c r="O24" i="21"/>
  <c r="N24" i="21"/>
  <c r="O23" i="21"/>
  <c r="N23" i="21"/>
  <c r="O22" i="21"/>
  <c r="N22" i="21"/>
  <c r="O21" i="21"/>
  <c r="N21" i="21"/>
  <c r="O20" i="21"/>
  <c r="N20" i="21"/>
  <c r="O19" i="21"/>
  <c r="N19" i="21"/>
  <c r="O18" i="21"/>
  <c r="N18" i="21"/>
  <c r="O17" i="21"/>
  <c r="N17" i="21"/>
  <c r="O16" i="21"/>
  <c r="N16" i="21"/>
  <c r="O15" i="21"/>
  <c r="N15" i="21"/>
  <c r="O14" i="21"/>
  <c r="N14" i="21"/>
  <c r="O13" i="21"/>
  <c r="N13" i="21"/>
  <c r="O12" i="21"/>
  <c r="N12" i="21"/>
  <c r="O11" i="21"/>
  <c r="N11" i="21"/>
  <c r="O10" i="21"/>
  <c r="N10" i="21"/>
  <c r="O9" i="21"/>
  <c r="N9" i="21"/>
  <c r="O8" i="21"/>
  <c r="N8" i="21"/>
  <c r="O7" i="21"/>
  <c r="N7" i="21"/>
  <c r="O106" i="22"/>
  <c r="N106" i="22"/>
  <c r="O105" i="22"/>
  <c r="N105" i="22"/>
  <c r="O104" i="22"/>
  <c r="N104" i="22"/>
  <c r="O103" i="22"/>
  <c r="N103" i="22"/>
  <c r="O102" i="22"/>
  <c r="N102" i="22"/>
  <c r="O101" i="22"/>
  <c r="N101" i="22"/>
  <c r="O100" i="22"/>
  <c r="N100" i="22"/>
  <c r="O99" i="22"/>
  <c r="N99" i="22"/>
  <c r="O98" i="22"/>
  <c r="N98" i="22"/>
  <c r="O97" i="22"/>
  <c r="N97" i="22"/>
  <c r="O96" i="22"/>
  <c r="N96" i="22"/>
  <c r="O95" i="22"/>
  <c r="N95" i="22"/>
  <c r="O94" i="22"/>
  <c r="N94" i="22"/>
  <c r="O93" i="22"/>
  <c r="N93" i="22"/>
  <c r="O92" i="22"/>
  <c r="N92" i="22"/>
  <c r="O91" i="22"/>
  <c r="N91" i="22"/>
  <c r="O90" i="22"/>
  <c r="N90" i="22"/>
  <c r="O89" i="22"/>
  <c r="N89" i="22"/>
  <c r="O88" i="22"/>
  <c r="N88" i="22"/>
  <c r="O87" i="22"/>
  <c r="N87" i="22"/>
  <c r="O86" i="22"/>
  <c r="N86" i="22"/>
  <c r="O85" i="22"/>
  <c r="N85" i="22"/>
  <c r="O84" i="22"/>
  <c r="N84" i="22"/>
  <c r="O83" i="22"/>
  <c r="N83" i="22"/>
  <c r="O82" i="22"/>
  <c r="N82" i="22"/>
  <c r="O81" i="22"/>
  <c r="N81" i="22"/>
  <c r="O80" i="22"/>
  <c r="N80" i="22"/>
  <c r="O79" i="22"/>
  <c r="N79" i="22"/>
  <c r="O78" i="22"/>
  <c r="N78" i="22"/>
  <c r="O77" i="22"/>
  <c r="N77" i="22"/>
  <c r="O76" i="22"/>
  <c r="N76" i="22"/>
  <c r="O75" i="22"/>
  <c r="N75" i="22"/>
  <c r="O74" i="22"/>
  <c r="N74" i="22"/>
  <c r="O73" i="22"/>
  <c r="N73" i="22"/>
  <c r="O72" i="22"/>
  <c r="N72" i="22"/>
  <c r="O71" i="22"/>
  <c r="N71" i="22"/>
  <c r="O70" i="22"/>
  <c r="N70" i="22"/>
  <c r="O69" i="22"/>
  <c r="N69" i="22"/>
  <c r="O68" i="22"/>
  <c r="N68" i="22"/>
  <c r="O67" i="22"/>
  <c r="N67" i="22"/>
  <c r="O66" i="22"/>
  <c r="N66" i="22"/>
  <c r="O65" i="22"/>
  <c r="N65" i="22"/>
  <c r="O64" i="22"/>
  <c r="N64" i="22"/>
  <c r="O63" i="22"/>
  <c r="N63" i="22"/>
  <c r="O62" i="22"/>
  <c r="N62" i="22"/>
  <c r="O61" i="22"/>
  <c r="N61" i="22"/>
  <c r="O60" i="22"/>
  <c r="N60" i="22"/>
  <c r="O59" i="22"/>
  <c r="N59" i="22"/>
  <c r="O58" i="22"/>
  <c r="N58" i="22"/>
  <c r="O57" i="22"/>
  <c r="N57" i="22"/>
  <c r="O56" i="22"/>
  <c r="N56" i="22"/>
  <c r="O55" i="22"/>
  <c r="N55" i="22"/>
  <c r="O54" i="22"/>
  <c r="N54" i="22"/>
  <c r="O53" i="22"/>
  <c r="N53" i="22"/>
  <c r="O52" i="22"/>
  <c r="N52" i="22"/>
  <c r="O51" i="22"/>
  <c r="N51" i="22"/>
  <c r="O50" i="22"/>
  <c r="N50" i="22"/>
  <c r="O49" i="22"/>
  <c r="N49" i="22"/>
  <c r="O48" i="22"/>
  <c r="N48" i="22"/>
  <c r="O47" i="22"/>
  <c r="N47" i="22"/>
  <c r="O46" i="22"/>
  <c r="N46" i="22"/>
  <c r="O45" i="22"/>
  <c r="N45" i="22"/>
  <c r="O44" i="22"/>
  <c r="N44" i="22"/>
  <c r="O43" i="22"/>
  <c r="N43" i="22"/>
  <c r="O42" i="22"/>
  <c r="N42" i="22"/>
  <c r="O41" i="22"/>
  <c r="N41" i="22"/>
  <c r="O40" i="22"/>
  <c r="N40" i="22"/>
  <c r="O39" i="22"/>
  <c r="N39" i="22"/>
  <c r="O38" i="22"/>
  <c r="N38" i="22"/>
  <c r="O37" i="22"/>
  <c r="N37" i="22"/>
  <c r="O36" i="22"/>
  <c r="N36" i="22"/>
  <c r="O35" i="22"/>
  <c r="N35" i="22"/>
  <c r="O34" i="22"/>
  <c r="N34" i="22"/>
  <c r="O33" i="22"/>
  <c r="N33" i="22"/>
  <c r="O32" i="22"/>
  <c r="N32" i="22"/>
  <c r="O31" i="22"/>
  <c r="N31" i="22"/>
  <c r="O30" i="22"/>
  <c r="N30" i="22"/>
  <c r="O29" i="22"/>
  <c r="N29" i="22"/>
  <c r="O28" i="22"/>
  <c r="N28" i="22"/>
  <c r="O27" i="22"/>
  <c r="N27" i="22"/>
  <c r="O26" i="22"/>
  <c r="N26" i="22"/>
  <c r="O25" i="22"/>
  <c r="N25" i="22"/>
  <c r="O24" i="22"/>
  <c r="N24" i="22"/>
  <c r="O23" i="22"/>
  <c r="N23" i="22"/>
  <c r="O22" i="22"/>
  <c r="N22" i="22"/>
  <c r="O21" i="22"/>
  <c r="N21" i="22"/>
  <c r="O20" i="22"/>
  <c r="N20" i="22"/>
  <c r="O19" i="22"/>
  <c r="N19" i="22"/>
  <c r="O18" i="22"/>
  <c r="N18" i="22"/>
  <c r="O17" i="22"/>
  <c r="N17" i="22"/>
  <c r="O16" i="22"/>
  <c r="N16" i="22"/>
  <c r="O15" i="22"/>
  <c r="N15" i="22"/>
  <c r="O14" i="22"/>
  <c r="N14" i="22"/>
  <c r="O13" i="22"/>
  <c r="N13" i="22"/>
  <c r="O12" i="22"/>
  <c r="N12" i="22"/>
  <c r="O11" i="22"/>
  <c r="N11" i="22"/>
  <c r="O10" i="22"/>
  <c r="N10" i="22"/>
  <c r="O9" i="22"/>
  <c r="N9" i="22"/>
  <c r="O8" i="22"/>
  <c r="N8" i="22"/>
  <c r="O7" i="22"/>
  <c r="N7" i="22"/>
  <c r="O106" i="4"/>
  <c r="N106" i="4"/>
  <c r="O105" i="4"/>
  <c r="N105" i="4"/>
  <c r="O104" i="4"/>
  <c r="N104" i="4"/>
  <c r="O103" i="4"/>
  <c r="N103" i="4"/>
  <c r="O102" i="4"/>
  <c r="N102" i="4"/>
  <c r="O101" i="4"/>
  <c r="N101" i="4"/>
  <c r="O100" i="4"/>
  <c r="N100" i="4"/>
  <c r="O99" i="4"/>
  <c r="N99" i="4"/>
  <c r="O98" i="4"/>
  <c r="N98" i="4"/>
  <c r="O97" i="4"/>
  <c r="N97" i="4"/>
  <c r="O96" i="4"/>
  <c r="N96" i="4"/>
  <c r="O95" i="4"/>
  <c r="N95" i="4"/>
  <c r="O94" i="4"/>
  <c r="N94" i="4"/>
  <c r="O93" i="4"/>
  <c r="N93" i="4"/>
  <c r="O92" i="4"/>
  <c r="N92" i="4"/>
  <c r="O91" i="4"/>
  <c r="N91" i="4"/>
  <c r="O90" i="4"/>
  <c r="N90" i="4"/>
  <c r="O89" i="4"/>
  <c r="N89" i="4"/>
  <c r="O88" i="4"/>
  <c r="N88" i="4"/>
  <c r="O87" i="4"/>
  <c r="N87" i="4"/>
  <c r="O86" i="4"/>
  <c r="N86" i="4"/>
  <c r="O85" i="4"/>
  <c r="N85" i="4"/>
  <c r="O84" i="4"/>
  <c r="N84" i="4"/>
  <c r="O83" i="4"/>
  <c r="N83" i="4"/>
  <c r="O82" i="4"/>
  <c r="N82" i="4"/>
  <c r="O81" i="4"/>
  <c r="N81" i="4"/>
  <c r="O80" i="4"/>
  <c r="N80" i="4"/>
  <c r="O79" i="4"/>
  <c r="N79" i="4"/>
  <c r="O78" i="4"/>
  <c r="N78" i="4"/>
  <c r="O77" i="4"/>
  <c r="N77" i="4"/>
  <c r="O76" i="4"/>
  <c r="N76" i="4"/>
  <c r="O75" i="4"/>
  <c r="N75" i="4"/>
  <c r="O74" i="4"/>
  <c r="N74" i="4"/>
  <c r="O73" i="4"/>
  <c r="N73" i="4"/>
  <c r="O72" i="4"/>
  <c r="N72" i="4"/>
  <c r="O71" i="4"/>
  <c r="N71" i="4"/>
  <c r="O70" i="4"/>
  <c r="N70" i="4"/>
  <c r="O69" i="4"/>
  <c r="N69" i="4"/>
  <c r="O68" i="4"/>
  <c r="N68" i="4"/>
  <c r="O67" i="4"/>
  <c r="N67" i="4"/>
  <c r="O66" i="4"/>
  <c r="N66" i="4"/>
  <c r="O65" i="4"/>
  <c r="N65" i="4"/>
  <c r="O64" i="4"/>
  <c r="N64" i="4"/>
  <c r="O63" i="4"/>
  <c r="N63" i="4"/>
  <c r="O62" i="4"/>
  <c r="N62" i="4"/>
  <c r="O61" i="4"/>
  <c r="N61" i="4"/>
  <c r="O60" i="4"/>
  <c r="N60" i="4"/>
  <c r="O59" i="4"/>
  <c r="N59" i="4"/>
  <c r="O58" i="4"/>
  <c r="N58" i="4"/>
  <c r="O57" i="4"/>
  <c r="N57" i="4"/>
  <c r="O56" i="4"/>
  <c r="N56" i="4"/>
  <c r="O55" i="4"/>
  <c r="N55" i="4"/>
  <c r="O54" i="4"/>
  <c r="N54" i="4"/>
  <c r="O53" i="4"/>
  <c r="N53" i="4"/>
  <c r="O52" i="4"/>
  <c r="N52" i="4"/>
  <c r="O51" i="4"/>
  <c r="N51" i="4"/>
  <c r="O50" i="4"/>
  <c r="N50" i="4"/>
  <c r="O49" i="4"/>
  <c r="N49" i="4"/>
  <c r="O48" i="4"/>
  <c r="N48" i="4"/>
  <c r="O47" i="4"/>
  <c r="N47" i="4"/>
  <c r="O46" i="4"/>
  <c r="N46" i="4"/>
  <c r="O45" i="4"/>
  <c r="N45" i="4"/>
  <c r="O44" i="4"/>
  <c r="N44" i="4"/>
  <c r="O43" i="4"/>
  <c r="N43" i="4"/>
  <c r="O42" i="4"/>
  <c r="N42" i="4"/>
  <c r="O41" i="4"/>
  <c r="N41" i="4"/>
  <c r="O40" i="4"/>
  <c r="N40" i="4"/>
  <c r="O39" i="4"/>
  <c r="N39" i="4"/>
  <c r="O38" i="4"/>
  <c r="N38" i="4"/>
  <c r="O37" i="4"/>
  <c r="N37" i="4"/>
  <c r="O36" i="4"/>
  <c r="N36" i="4"/>
  <c r="O35" i="4"/>
  <c r="N35" i="4"/>
  <c r="O34" i="4"/>
  <c r="N34" i="4"/>
  <c r="O33" i="4"/>
  <c r="N33" i="4"/>
  <c r="O32" i="4"/>
  <c r="N32" i="4"/>
  <c r="O31" i="4"/>
  <c r="N31" i="4"/>
  <c r="O30" i="4"/>
  <c r="N30" i="4"/>
  <c r="O29" i="4"/>
  <c r="N29" i="4"/>
  <c r="O28" i="4"/>
  <c r="N28" i="4"/>
  <c r="O27" i="4"/>
  <c r="N27" i="4"/>
  <c r="O26" i="4"/>
  <c r="N26" i="4"/>
  <c r="O25" i="4"/>
  <c r="N25" i="4"/>
  <c r="O24" i="4"/>
  <c r="N24" i="4"/>
  <c r="O23" i="4"/>
  <c r="N23" i="4"/>
  <c r="O22" i="4"/>
  <c r="N22" i="4"/>
  <c r="O21" i="4"/>
  <c r="N21" i="4"/>
  <c r="O20" i="4"/>
  <c r="N20" i="4"/>
  <c r="O19" i="4"/>
  <c r="N19" i="4"/>
  <c r="O18" i="4"/>
  <c r="N18" i="4"/>
  <c r="O17" i="4"/>
  <c r="N17" i="4"/>
  <c r="O16" i="4"/>
  <c r="N16" i="4"/>
  <c r="O15" i="4"/>
  <c r="N15" i="4"/>
  <c r="O14" i="4"/>
  <c r="N14" i="4"/>
  <c r="O13" i="4"/>
  <c r="N13" i="4"/>
  <c r="O12" i="4"/>
  <c r="N12" i="4"/>
  <c r="O11" i="4"/>
  <c r="N11" i="4"/>
  <c r="O10" i="4"/>
  <c r="N10" i="4"/>
  <c r="O9" i="4"/>
  <c r="N9" i="4"/>
  <c r="O8" i="4"/>
  <c r="N8" i="4"/>
  <c r="O7" i="4"/>
  <c r="N7" i="4"/>
  <c r="N8" i="20"/>
  <c r="N9" i="20"/>
  <c r="N10" i="20"/>
  <c r="N11" i="20"/>
  <c r="N12" i="20"/>
  <c r="N13" i="20"/>
  <c r="N14" i="20"/>
  <c r="N15" i="20"/>
  <c r="N16" i="20"/>
  <c r="N17" i="20"/>
  <c r="N18" i="20"/>
  <c r="N19" i="20"/>
  <c r="N20" i="20"/>
  <c r="N21" i="20"/>
  <c r="N22" i="20"/>
  <c r="N23" i="20"/>
  <c r="N24" i="20"/>
  <c r="N25" i="20"/>
  <c r="N26" i="20"/>
  <c r="N27" i="20"/>
  <c r="N28" i="20"/>
  <c r="N29" i="20"/>
  <c r="N30" i="20"/>
  <c r="N31" i="20"/>
  <c r="N32" i="20"/>
  <c r="N33" i="20"/>
  <c r="N34" i="20"/>
  <c r="N35" i="20"/>
  <c r="N36" i="20"/>
  <c r="N37" i="20"/>
  <c r="N38" i="20"/>
  <c r="N39" i="20"/>
  <c r="N40" i="20"/>
  <c r="N41" i="20"/>
  <c r="N42" i="20"/>
  <c r="N43" i="20"/>
  <c r="N44" i="20"/>
  <c r="N45" i="20"/>
  <c r="N46" i="20"/>
  <c r="N47" i="20"/>
  <c r="N48" i="20"/>
  <c r="N49" i="20"/>
  <c r="N50" i="20"/>
  <c r="N51" i="20"/>
  <c r="N52" i="20"/>
  <c r="N53" i="20"/>
  <c r="N54" i="20"/>
  <c r="N55" i="20"/>
  <c r="N56" i="20"/>
  <c r="N57" i="20"/>
  <c r="N58" i="20"/>
  <c r="N59" i="20"/>
  <c r="N60" i="20"/>
  <c r="N61" i="20"/>
  <c r="N62" i="20"/>
  <c r="N63" i="20"/>
  <c r="N64" i="20"/>
  <c r="N65" i="20"/>
  <c r="N66" i="20"/>
  <c r="N67" i="20"/>
  <c r="N68" i="20"/>
  <c r="N69" i="20"/>
  <c r="N70" i="20"/>
  <c r="N71" i="20"/>
  <c r="N72" i="20"/>
  <c r="N73" i="20"/>
  <c r="N74" i="20"/>
  <c r="N75" i="20"/>
  <c r="N76" i="20"/>
  <c r="N77" i="20"/>
  <c r="N78" i="20"/>
  <c r="N79" i="20"/>
  <c r="N80" i="20"/>
  <c r="N81" i="20"/>
  <c r="N82" i="20"/>
  <c r="N83" i="20"/>
  <c r="N84" i="20"/>
  <c r="N85" i="20"/>
  <c r="N86" i="20"/>
  <c r="N87" i="20"/>
  <c r="N88" i="20"/>
  <c r="N89" i="20"/>
  <c r="N90" i="20"/>
  <c r="N91" i="20"/>
  <c r="N92" i="20"/>
  <c r="N93" i="20"/>
  <c r="N94" i="20"/>
  <c r="N95" i="20"/>
  <c r="N96" i="20"/>
  <c r="N97" i="20"/>
  <c r="N98" i="20"/>
  <c r="N99" i="20"/>
  <c r="N100" i="20"/>
  <c r="N101" i="20"/>
  <c r="N102" i="20"/>
  <c r="N103" i="20"/>
  <c r="N104" i="20"/>
  <c r="N105" i="20"/>
  <c r="N106" i="20"/>
  <c r="N7" i="20"/>
  <c r="M106" i="20" l="1"/>
  <c r="M105" i="20"/>
  <c r="M104" i="20"/>
  <c r="M103" i="20"/>
  <c r="M102" i="20"/>
  <c r="M101" i="20"/>
  <c r="M100" i="20"/>
  <c r="M99" i="20"/>
  <c r="M98" i="20"/>
  <c r="M97" i="20"/>
  <c r="M96" i="20"/>
  <c r="M95" i="20"/>
  <c r="M94" i="20"/>
  <c r="M93" i="20"/>
  <c r="M92" i="20"/>
  <c r="M91" i="20"/>
  <c r="M90" i="20"/>
  <c r="M89" i="20"/>
  <c r="M88" i="20"/>
  <c r="M87" i="20"/>
  <c r="M86" i="20"/>
  <c r="M85" i="20"/>
  <c r="M84" i="20"/>
  <c r="M83" i="20"/>
  <c r="M82" i="20"/>
  <c r="M81" i="20"/>
  <c r="M80" i="20"/>
  <c r="M79" i="20"/>
  <c r="M78" i="20"/>
  <c r="M77" i="20"/>
  <c r="M76" i="20"/>
  <c r="M75" i="20"/>
  <c r="M74" i="20"/>
  <c r="M73" i="20"/>
  <c r="M72" i="20"/>
  <c r="M71" i="20"/>
  <c r="M70" i="20"/>
  <c r="M69" i="20"/>
  <c r="M68" i="20"/>
  <c r="M67" i="20"/>
  <c r="M66" i="20"/>
  <c r="M65" i="20"/>
  <c r="M64" i="20"/>
  <c r="M63" i="20"/>
  <c r="M62" i="20"/>
  <c r="M61" i="20"/>
  <c r="M60" i="20"/>
  <c r="M59" i="20"/>
  <c r="M58" i="20"/>
  <c r="M57" i="20"/>
  <c r="M56" i="20"/>
  <c r="M55" i="20"/>
  <c r="M54" i="20"/>
  <c r="M53" i="20"/>
  <c r="M52" i="20"/>
  <c r="M51" i="20"/>
  <c r="M50" i="20"/>
  <c r="M49" i="20"/>
  <c r="M48" i="20"/>
  <c r="M47" i="20"/>
  <c r="M46" i="20"/>
  <c r="M45" i="20"/>
  <c r="M44" i="20"/>
  <c r="M43" i="20"/>
  <c r="M42" i="20"/>
  <c r="M41" i="20"/>
  <c r="M40" i="20"/>
  <c r="M39" i="20"/>
  <c r="M38" i="20"/>
  <c r="M37" i="20"/>
  <c r="M36" i="20"/>
  <c r="M35" i="20"/>
  <c r="M34" i="20"/>
  <c r="M33" i="20"/>
  <c r="M32" i="20"/>
  <c r="M31" i="20"/>
  <c r="M30" i="20"/>
  <c r="M29" i="20"/>
  <c r="M28" i="20"/>
  <c r="M27" i="20"/>
  <c r="M26" i="20"/>
  <c r="M25" i="20"/>
  <c r="M24" i="20"/>
  <c r="M23" i="20"/>
  <c r="M22" i="20"/>
  <c r="M21" i="20"/>
  <c r="M20" i="20"/>
  <c r="M19" i="20"/>
  <c r="M18" i="20"/>
  <c r="M17" i="20"/>
  <c r="M16" i="20"/>
  <c r="M15" i="20"/>
  <c r="M14" i="20"/>
  <c r="M13" i="20"/>
  <c r="M12" i="20"/>
  <c r="M11" i="20"/>
  <c r="M10" i="20"/>
  <c r="M9" i="20"/>
  <c r="M8" i="20"/>
  <c r="M106" i="19"/>
  <c r="M105" i="19"/>
  <c r="M104" i="19"/>
  <c r="M103" i="19"/>
  <c r="M102" i="19"/>
  <c r="M101" i="19"/>
  <c r="M100" i="19"/>
  <c r="M99" i="19"/>
  <c r="M98" i="19"/>
  <c r="M97" i="19"/>
  <c r="M96" i="19"/>
  <c r="M95" i="19"/>
  <c r="M94" i="19"/>
  <c r="M93" i="19"/>
  <c r="M92" i="19"/>
  <c r="M91" i="19"/>
  <c r="M90" i="19"/>
  <c r="M89" i="19"/>
  <c r="M88" i="19"/>
  <c r="M87" i="19"/>
  <c r="M86" i="19"/>
  <c r="M85" i="19"/>
  <c r="M84" i="19"/>
  <c r="M83" i="19"/>
  <c r="M82" i="19"/>
  <c r="M81" i="19"/>
  <c r="M80" i="19"/>
  <c r="M79" i="19"/>
  <c r="M78" i="19"/>
  <c r="M77" i="19"/>
  <c r="M76" i="19"/>
  <c r="M75" i="19"/>
  <c r="M74" i="19"/>
  <c r="M73" i="19"/>
  <c r="M72" i="19"/>
  <c r="M71" i="19"/>
  <c r="M70" i="19"/>
  <c r="M69" i="19"/>
  <c r="M68" i="19"/>
  <c r="M67" i="19"/>
  <c r="M66" i="19"/>
  <c r="M65" i="19"/>
  <c r="M64" i="19"/>
  <c r="M63" i="19"/>
  <c r="M62" i="19"/>
  <c r="M61" i="19"/>
  <c r="M60" i="19"/>
  <c r="M59" i="19"/>
  <c r="M58" i="19"/>
  <c r="M57" i="19"/>
  <c r="M56" i="19"/>
  <c r="M55" i="19"/>
  <c r="M54" i="19"/>
  <c r="M53" i="19"/>
  <c r="M52" i="19"/>
  <c r="M51" i="19"/>
  <c r="M50" i="19"/>
  <c r="M49" i="19"/>
  <c r="M48" i="19"/>
  <c r="M47" i="19"/>
  <c r="M46" i="19"/>
  <c r="M45" i="19"/>
  <c r="M44" i="19"/>
  <c r="M43" i="19"/>
  <c r="M42" i="19"/>
  <c r="M41" i="19"/>
  <c r="M40" i="19"/>
  <c r="M39" i="19"/>
  <c r="M38" i="19"/>
  <c r="M37" i="19"/>
  <c r="M36" i="19"/>
  <c r="M35" i="19"/>
  <c r="M34" i="19"/>
  <c r="M33" i="19"/>
  <c r="M32" i="19"/>
  <c r="M31" i="19"/>
  <c r="M30" i="19"/>
  <c r="M29" i="19"/>
  <c r="M28" i="19"/>
  <c r="M27" i="19"/>
  <c r="M26" i="19"/>
  <c r="M25" i="19"/>
  <c r="M24" i="19"/>
  <c r="M23" i="19"/>
  <c r="M22" i="19"/>
  <c r="M21" i="19"/>
  <c r="M20" i="19"/>
  <c r="M19" i="19"/>
  <c r="M18" i="19"/>
  <c r="M17" i="19"/>
  <c r="M16" i="19"/>
  <c r="M15" i="19"/>
  <c r="M14" i="19"/>
  <c r="M13" i="19"/>
  <c r="M12" i="19"/>
  <c r="M11" i="19"/>
  <c r="M10" i="19"/>
  <c r="M9" i="19"/>
  <c r="M8" i="19"/>
  <c r="M7" i="19"/>
  <c r="M106" i="21"/>
  <c r="M105" i="21"/>
  <c r="M104" i="21"/>
  <c r="M103" i="21"/>
  <c r="M102" i="21"/>
  <c r="M101" i="21"/>
  <c r="M100" i="21"/>
  <c r="M99" i="21"/>
  <c r="M98" i="21"/>
  <c r="M97" i="21"/>
  <c r="M96" i="21"/>
  <c r="M95" i="21"/>
  <c r="M94" i="21"/>
  <c r="M93" i="21"/>
  <c r="M92" i="21"/>
  <c r="M91" i="21"/>
  <c r="M90"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M55" i="21"/>
  <c r="M54" i="21"/>
  <c r="M53" i="21"/>
  <c r="M52" i="21"/>
  <c r="M51" i="21"/>
  <c r="M50" i="21"/>
  <c r="M49" i="21"/>
  <c r="M48" i="21"/>
  <c r="M47" i="21"/>
  <c r="M46" i="21"/>
  <c r="M45" i="21"/>
  <c r="M44" i="21"/>
  <c r="M43" i="21"/>
  <c r="M42" i="21"/>
  <c r="M41" i="21"/>
  <c r="M40" i="21"/>
  <c r="M39" i="21"/>
  <c r="M38" i="21"/>
  <c r="M37" i="21"/>
  <c r="M36" i="21"/>
  <c r="M35" i="21"/>
  <c r="M34" i="21"/>
  <c r="M33" i="21"/>
  <c r="M32" i="21"/>
  <c r="M31" i="21"/>
  <c r="M30" i="21"/>
  <c r="M29" i="21"/>
  <c r="M28" i="21"/>
  <c r="M27" i="21"/>
  <c r="M26" i="21"/>
  <c r="M25" i="21"/>
  <c r="M24" i="21"/>
  <c r="M23" i="21"/>
  <c r="M22" i="21"/>
  <c r="M21" i="21"/>
  <c r="M20" i="21"/>
  <c r="M19" i="21"/>
  <c r="M18" i="21"/>
  <c r="M17" i="21"/>
  <c r="M16" i="21"/>
  <c r="M15" i="21"/>
  <c r="M14" i="21"/>
  <c r="M13" i="21"/>
  <c r="M12" i="21"/>
  <c r="M11" i="21"/>
  <c r="M10" i="21"/>
  <c r="M9" i="21"/>
  <c r="M8" i="21"/>
  <c r="M7" i="21"/>
  <c r="M106" i="22"/>
  <c r="M105" i="22"/>
  <c r="M104" i="22"/>
  <c r="M103" i="22"/>
  <c r="M102" i="22"/>
  <c r="M101" i="22"/>
  <c r="M100" i="22"/>
  <c r="M99" i="22"/>
  <c r="M98" i="22"/>
  <c r="M97" i="22"/>
  <c r="M96" i="22"/>
  <c r="M95" i="22"/>
  <c r="M94" i="22"/>
  <c r="M93" i="22"/>
  <c r="M92" i="22"/>
  <c r="M91" i="22"/>
  <c r="M90" i="22"/>
  <c r="M89" i="22"/>
  <c r="M88" i="22"/>
  <c r="M87" i="22"/>
  <c r="M86" i="22"/>
  <c r="M85" i="22"/>
  <c r="M84" i="22"/>
  <c r="M83" i="22"/>
  <c r="M82" i="22"/>
  <c r="M81" i="22"/>
  <c r="M80" i="22"/>
  <c r="M79" i="22"/>
  <c r="M78" i="22"/>
  <c r="M77" i="22"/>
  <c r="M76" i="22"/>
  <c r="M75" i="22"/>
  <c r="M74" i="22"/>
  <c r="M73" i="22"/>
  <c r="M72" i="22"/>
  <c r="M71" i="22"/>
  <c r="M70" i="22"/>
  <c r="M69" i="22"/>
  <c r="M68" i="22"/>
  <c r="M67" i="22"/>
  <c r="M66" i="22"/>
  <c r="M65" i="22"/>
  <c r="M64" i="22"/>
  <c r="M63" i="22"/>
  <c r="M62" i="22"/>
  <c r="M61" i="22"/>
  <c r="M60" i="22"/>
  <c r="M59" i="22"/>
  <c r="M58" i="22"/>
  <c r="M57" i="22"/>
  <c r="M56" i="22"/>
  <c r="M55" i="22"/>
  <c r="M54" i="22"/>
  <c r="M53" i="22"/>
  <c r="M52" i="22"/>
  <c r="M51" i="22"/>
  <c r="M50" i="22"/>
  <c r="M49" i="22"/>
  <c r="M48" i="22"/>
  <c r="M47" i="22"/>
  <c r="M46" i="22"/>
  <c r="M45" i="22"/>
  <c r="M44" i="22"/>
  <c r="M43" i="22"/>
  <c r="M42" i="22"/>
  <c r="M41" i="22"/>
  <c r="M40" i="22"/>
  <c r="M39" i="22"/>
  <c r="M38" i="22"/>
  <c r="M37" i="22"/>
  <c r="M36" i="22"/>
  <c r="M35" i="22"/>
  <c r="M34" i="22"/>
  <c r="M33" i="22"/>
  <c r="M32" i="22"/>
  <c r="M31" i="22"/>
  <c r="M30" i="22"/>
  <c r="M29" i="22"/>
  <c r="M28" i="22"/>
  <c r="M27" i="22"/>
  <c r="M26" i="22"/>
  <c r="M25" i="22"/>
  <c r="M24" i="22"/>
  <c r="M23" i="22"/>
  <c r="M22" i="22"/>
  <c r="M21" i="22"/>
  <c r="M20" i="22"/>
  <c r="M19" i="22"/>
  <c r="M18" i="22"/>
  <c r="M17" i="22"/>
  <c r="M16" i="22"/>
  <c r="M15" i="22"/>
  <c r="M14" i="22"/>
  <c r="M13" i="22"/>
  <c r="M12" i="22"/>
  <c r="M11" i="22"/>
  <c r="M10" i="22"/>
  <c r="M9" i="22"/>
  <c r="M8" i="22"/>
  <c r="M7" i="22"/>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B8" i="20"/>
  <c r="G8" i="20"/>
  <c r="J8" i="20"/>
  <c r="P8" i="20"/>
  <c r="R8" i="20"/>
  <c r="S8" i="20"/>
  <c r="B9" i="20"/>
  <c r="G9" i="20"/>
  <c r="J9" i="20"/>
  <c r="P9" i="20"/>
  <c r="R9" i="20"/>
  <c r="S9" i="20"/>
  <c r="B10" i="20"/>
  <c r="G10" i="20"/>
  <c r="J10" i="20"/>
  <c r="P10" i="20"/>
  <c r="R10" i="20"/>
  <c r="S10" i="20"/>
  <c r="B11" i="20"/>
  <c r="G11" i="20"/>
  <c r="J11" i="20"/>
  <c r="P11" i="20"/>
  <c r="R11" i="20"/>
  <c r="S11" i="20"/>
  <c r="B12" i="20"/>
  <c r="G12" i="20"/>
  <c r="J12" i="20"/>
  <c r="P12" i="20"/>
  <c r="R12" i="20"/>
  <c r="S12" i="20"/>
  <c r="B13" i="20"/>
  <c r="G13" i="20"/>
  <c r="J13" i="20"/>
  <c r="P13" i="20"/>
  <c r="R13" i="20"/>
  <c r="S13" i="20"/>
  <c r="B14" i="20"/>
  <c r="G14" i="20"/>
  <c r="J14" i="20"/>
  <c r="P14" i="20"/>
  <c r="R14" i="20"/>
  <c r="S14" i="20"/>
  <c r="B15" i="20"/>
  <c r="G15" i="20"/>
  <c r="J15" i="20"/>
  <c r="P15" i="20"/>
  <c r="R15" i="20"/>
  <c r="S15" i="20"/>
  <c r="B16" i="20"/>
  <c r="G16" i="20"/>
  <c r="J16" i="20"/>
  <c r="P16" i="20"/>
  <c r="R16" i="20"/>
  <c r="S16" i="20"/>
  <c r="B17" i="20"/>
  <c r="G17" i="20"/>
  <c r="J17" i="20"/>
  <c r="P17" i="20"/>
  <c r="R17" i="20"/>
  <c r="S17" i="20"/>
  <c r="B18" i="20"/>
  <c r="G18" i="20"/>
  <c r="J18" i="20"/>
  <c r="P18" i="20"/>
  <c r="R18" i="20"/>
  <c r="S18" i="20"/>
  <c r="B19" i="20"/>
  <c r="G19" i="20"/>
  <c r="J19" i="20"/>
  <c r="P19" i="20"/>
  <c r="R19" i="20"/>
  <c r="S19" i="20"/>
  <c r="B20" i="20"/>
  <c r="G20" i="20"/>
  <c r="J20" i="20"/>
  <c r="P20" i="20"/>
  <c r="R20" i="20"/>
  <c r="S20" i="20"/>
  <c r="B21" i="20"/>
  <c r="G21" i="20"/>
  <c r="J21" i="20"/>
  <c r="P21" i="20"/>
  <c r="R21" i="20"/>
  <c r="S21" i="20"/>
  <c r="B22" i="20"/>
  <c r="G22" i="20"/>
  <c r="J22" i="20"/>
  <c r="P22" i="20"/>
  <c r="R22" i="20"/>
  <c r="S22" i="20"/>
  <c r="B23" i="20"/>
  <c r="G23" i="20"/>
  <c r="J23" i="20"/>
  <c r="P23" i="20"/>
  <c r="R23" i="20"/>
  <c r="S23" i="20"/>
  <c r="B24" i="20"/>
  <c r="G24" i="20"/>
  <c r="J24" i="20"/>
  <c r="P24" i="20"/>
  <c r="R24" i="20"/>
  <c r="S24" i="20"/>
  <c r="B25" i="20"/>
  <c r="G25" i="20"/>
  <c r="J25" i="20"/>
  <c r="P25" i="20"/>
  <c r="R25" i="20"/>
  <c r="S25" i="20"/>
  <c r="B26" i="20"/>
  <c r="G26" i="20"/>
  <c r="J26" i="20"/>
  <c r="P26" i="20"/>
  <c r="R26" i="20"/>
  <c r="S26" i="20"/>
  <c r="B27" i="20"/>
  <c r="G27" i="20"/>
  <c r="J27" i="20"/>
  <c r="P27" i="20"/>
  <c r="R27" i="20"/>
  <c r="S27" i="20"/>
  <c r="B28" i="20"/>
  <c r="G28" i="20"/>
  <c r="J28" i="20"/>
  <c r="P28" i="20"/>
  <c r="R28" i="20"/>
  <c r="S28" i="20"/>
  <c r="B29" i="20"/>
  <c r="G29" i="20"/>
  <c r="J29" i="20"/>
  <c r="P29" i="20"/>
  <c r="R29" i="20"/>
  <c r="S29" i="20"/>
  <c r="B30" i="20"/>
  <c r="G30" i="20"/>
  <c r="J30" i="20"/>
  <c r="P30" i="20"/>
  <c r="R30" i="20"/>
  <c r="S30" i="20"/>
  <c r="B31" i="20"/>
  <c r="G31" i="20"/>
  <c r="J31" i="20"/>
  <c r="P31" i="20"/>
  <c r="R31" i="20"/>
  <c r="S31" i="20"/>
  <c r="B32" i="20"/>
  <c r="G32" i="20"/>
  <c r="J32" i="20"/>
  <c r="P32" i="20"/>
  <c r="R32" i="20"/>
  <c r="S32" i="20"/>
  <c r="B33" i="20"/>
  <c r="G33" i="20"/>
  <c r="J33" i="20"/>
  <c r="P33" i="20"/>
  <c r="R33" i="20"/>
  <c r="S33" i="20"/>
  <c r="B34" i="20"/>
  <c r="G34" i="20"/>
  <c r="J34" i="20"/>
  <c r="P34" i="20"/>
  <c r="R34" i="20"/>
  <c r="S34" i="20"/>
  <c r="B35" i="20"/>
  <c r="G35" i="20"/>
  <c r="J35" i="20"/>
  <c r="P35" i="20"/>
  <c r="R35" i="20"/>
  <c r="S35" i="20"/>
  <c r="B36" i="20"/>
  <c r="G36" i="20"/>
  <c r="J36" i="20"/>
  <c r="P36" i="20"/>
  <c r="R36" i="20"/>
  <c r="S36" i="20"/>
  <c r="B37" i="20"/>
  <c r="G37" i="20"/>
  <c r="J37" i="20"/>
  <c r="P37" i="20"/>
  <c r="R37" i="20"/>
  <c r="S37" i="20"/>
  <c r="B38" i="20"/>
  <c r="G38" i="20"/>
  <c r="J38" i="20"/>
  <c r="P38" i="20"/>
  <c r="R38" i="20"/>
  <c r="S38" i="20"/>
  <c r="B39" i="20"/>
  <c r="G39" i="20"/>
  <c r="J39" i="20"/>
  <c r="P39" i="20"/>
  <c r="R39" i="20"/>
  <c r="S39" i="20"/>
  <c r="B40" i="20"/>
  <c r="G40" i="20"/>
  <c r="J40" i="20"/>
  <c r="P40" i="20"/>
  <c r="R40" i="20"/>
  <c r="S40" i="20"/>
  <c r="B41" i="20"/>
  <c r="G41" i="20"/>
  <c r="J41" i="20"/>
  <c r="P41" i="20"/>
  <c r="R41" i="20"/>
  <c r="S41" i="20"/>
  <c r="B42" i="20"/>
  <c r="G42" i="20"/>
  <c r="J42" i="20"/>
  <c r="P42" i="20"/>
  <c r="R42" i="20"/>
  <c r="S42" i="20"/>
  <c r="B43" i="20"/>
  <c r="G43" i="20"/>
  <c r="J43" i="20"/>
  <c r="P43" i="20"/>
  <c r="R43" i="20"/>
  <c r="S43" i="20"/>
  <c r="B44" i="20"/>
  <c r="G44" i="20"/>
  <c r="J44" i="20"/>
  <c r="P44" i="20"/>
  <c r="R44" i="20"/>
  <c r="S44" i="20"/>
  <c r="B45" i="20"/>
  <c r="G45" i="20"/>
  <c r="J45" i="20"/>
  <c r="P45" i="20"/>
  <c r="R45" i="20"/>
  <c r="S45" i="20"/>
  <c r="B46" i="20"/>
  <c r="G46" i="20"/>
  <c r="J46" i="20"/>
  <c r="P46" i="20"/>
  <c r="R46" i="20"/>
  <c r="S46" i="20"/>
  <c r="B47" i="20"/>
  <c r="G47" i="20"/>
  <c r="J47" i="20"/>
  <c r="P47" i="20"/>
  <c r="R47" i="20"/>
  <c r="S47" i="20"/>
  <c r="B48" i="20"/>
  <c r="G48" i="20"/>
  <c r="J48" i="20"/>
  <c r="P48" i="20"/>
  <c r="R48" i="20"/>
  <c r="S48" i="20"/>
  <c r="B49" i="20"/>
  <c r="G49" i="20"/>
  <c r="J49" i="20"/>
  <c r="P49" i="20"/>
  <c r="R49" i="20"/>
  <c r="S49" i="20"/>
  <c r="B50" i="20"/>
  <c r="G50" i="20"/>
  <c r="J50" i="20"/>
  <c r="P50" i="20"/>
  <c r="R50" i="20"/>
  <c r="S50" i="20"/>
  <c r="B51" i="20"/>
  <c r="G51" i="20"/>
  <c r="J51" i="20"/>
  <c r="P51" i="20"/>
  <c r="R51" i="20"/>
  <c r="S51" i="20"/>
  <c r="B52" i="20"/>
  <c r="G52" i="20"/>
  <c r="J52" i="20"/>
  <c r="P52" i="20"/>
  <c r="R52" i="20"/>
  <c r="S52" i="20"/>
  <c r="B53" i="20"/>
  <c r="G53" i="20"/>
  <c r="J53" i="20"/>
  <c r="P53" i="20"/>
  <c r="R53" i="20"/>
  <c r="S53" i="20"/>
  <c r="S76" i="20"/>
  <c r="R76" i="20"/>
  <c r="P76" i="20"/>
  <c r="J76" i="20"/>
  <c r="G76" i="20"/>
  <c r="B76" i="20"/>
  <c r="S75" i="20"/>
  <c r="R75" i="20"/>
  <c r="P75" i="20"/>
  <c r="J75" i="20"/>
  <c r="G75" i="20"/>
  <c r="B75" i="20"/>
  <c r="S74" i="20"/>
  <c r="R74" i="20"/>
  <c r="P74" i="20"/>
  <c r="J74" i="20"/>
  <c r="G74" i="20"/>
  <c r="B74" i="20"/>
  <c r="S73" i="20"/>
  <c r="R73" i="20"/>
  <c r="P73" i="20"/>
  <c r="J73" i="20"/>
  <c r="G73" i="20"/>
  <c r="B73" i="20"/>
  <c r="S72" i="20"/>
  <c r="R72" i="20"/>
  <c r="P72" i="20"/>
  <c r="J72" i="20"/>
  <c r="G72" i="20"/>
  <c r="B72" i="20"/>
  <c r="S71" i="20"/>
  <c r="R71" i="20"/>
  <c r="P71" i="20"/>
  <c r="J71" i="20"/>
  <c r="G71" i="20"/>
  <c r="B71" i="20"/>
  <c r="S70" i="20"/>
  <c r="R70" i="20"/>
  <c r="P70" i="20"/>
  <c r="J70" i="20"/>
  <c r="G70" i="20"/>
  <c r="B70" i="20"/>
  <c r="S69" i="20"/>
  <c r="R69" i="20"/>
  <c r="P69" i="20"/>
  <c r="J69" i="20"/>
  <c r="G69" i="20"/>
  <c r="B69" i="20"/>
  <c r="S68" i="20"/>
  <c r="R68" i="20"/>
  <c r="P68" i="20"/>
  <c r="J68" i="20"/>
  <c r="G68" i="20"/>
  <c r="B68" i="20"/>
  <c r="S67" i="20"/>
  <c r="R67" i="20"/>
  <c r="P67" i="20"/>
  <c r="J67" i="20"/>
  <c r="G67" i="20"/>
  <c r="B67" i="20"/>
  <c r="S66" i="20"/>
  <c r="R66" i="20"/>
  <c r="P66" i="20"/>
  <c r="J66" i="20"/>
  <c r="G66" i="20"/>
  <c r="B66" i="20"/>
  <c r="S65" i="20"/>
  <c r="R65" i="20"/>
  <c r="P65" i="20"/>
  <c r="J65" i="20"/>
  <c r="G65" i="20"/>
  <c r="B65" i="20"/>
  <c r="S64" i="20"/>
  <c r="R64" i="20"/>
  <c r="P64" i="20"/>
  <c r="J64" i="20"/>
  <c r="G64" i="20"/>
  <c r="B64" i="20"/>
  <c r="S63" i="20"/>
  <c r="R63" i="20"/>
  <c r="P63" i="20"/>
  <c r="J63" i="20"/>
  <c r="G63" i="20"/>
  <c r="B63" i="20"/>
  <c r="S62" i="20"/>
  <c r="R62" i="20"/>
  <c r="P62" i="20"/>
  <c r="J62" i="20"/>
  <c r="G62" i="20"/>
  <c r="B62" i="20"/>
  <c r="S61" i="20"/>
  <c r="R61" i="20"/>
  <c r="P61" i="20"/>
  <c r="J61" i="20"/>
  <c r="G61" i="20"/>
  <c r="B61" i="20"/>
  <c r="S60" i="20"/>
  <c r="R60" i="20"/>
  <c r="P60" i="20"/>
  <c r="J60" i="20"/>
  <c r="G60" i="20"/>
  <c r="B60" i="20"/>
  <c r="S59" i="20"/>
  <c r="R59" i="20"/>
  <c r="P59" i="20"/>
  <c r="J59" i="20"/>
  <c r="G59" i="20"/>
  <c r="B59" i="20"/>
  <c r="S58" i="20"/>
  <c r="R58" i="20"/>
  <c r="P58" i="20"/>
  <c r="J58" i="20"/>
  <c r="G58" i="20"/>
  <c r="B58" i="20"/>
  <c r="S57" i="20"/>
  <c r="R57" i="20"/>
  <c r="P57" i="20"/>
  <c r="J57" i="20"/>
  <c r="G57" i="20"/>
  <c r="B57" i="20"/>
  <c r="S56" i="20"/>
  <c r="R56" i="20"/>
  <c r="P56" i="20"/>
  <c r="J56" i="20"/>
  <c r="G56" i="20"/>
  <c r="B56" i="20"/>
  <c r="S55" i="20"/>
  <c r="R55" i="20"/>
  <c r="P55" i="20"/>
  <c r="J55" i="20"/>
  <c r="G55" i="20"/>
  <c r="B55" i="20"/>
  <c r="S54" i="20"/>
  <c r="R54" i="20"/>
  <c r="P54" i="20"/>
  <c r="J54" i="20"/>
  <c r="G54" i="20"/>
  <c r="B54" i="20"/>
  <c r="B8" i="19"/>
  <c r="G8" i="19"/>
  <c r="J8" i="19"/>
  <c r="P8" i="19"/>
  <c r="R8" i="19"/>
  <c r="S8" i="19"/>
  <c r="B9" i="19"/>
  <c r="G9" i="19"/>
  <c r="J9" i="19"/>
  <c r="P9" i="19"/>
  <c r="R9" i="19"/>
  <c r="S9" i="19"/>
  <c r="B10" i="19"/>
  <c r="G10" i="19"/>
  <c r="J10" i="19"/>
  <c r="P10" i="19"/>
  <c r="R10" i="19"/>
  <c r="S10" i="19"/>
  <c r="B11" i="19"/>
  <c r="G11" i="19"/>
  <c r="J11" i="19"/>
  <c r="P11" i="19"/>
  <c r="R11" i="19"/>
  <c r="S11" i="19"/>
  <c r="B12" i="19"/>
  <c r="G12" i="19"/>
  <c r="J12" i="19"/>
  <c r="P12" i="19"/>
  <c r="R12" i="19"/>
  <c r="S12" i="19"/>
  <c r="B13" i="19"/>
  <c r="G13" i="19"/>
  <c r="J13" i="19"/>
  <c r="P13" i="19"/>
  <c r="R13" i="19"/>
  <c r="S13" i="19"/>
  <c r="B14" i="19"/>
  <c r="G14" i="19"/>
  <c r="J14" i="19"/>
  <c r="P14" i="19"/>
  <c r="R14" i="19"/>
  <c r="S14" i="19"/>
  <c r="B15" i="19"/>
  <c r="G15" i="19"/>
  <c r="J15" i="19"/>
  <c r="P15" i="19"/>
  <c r="R15" i="19"/>
  <c r="S15" i="19"/>
  <c r="B16" i="19"/>
  <c r="G16" i="19"/>
  <c r="J16" i="19"/>
  <c r="P16" i="19"/>
  <c r="R16" i="19"/>
  <c r="S16" i="19"/>
  <c r="B17" i="19"/>
  <c r="G17" i="19"/>
  <c r="J17" i="19"/>
  <c r="P17" i="19"/>
  <c r="R17" i="19"/>
  <c r="S17" i="19"/>
  <c r="B18" i="19"/>
  <c r="G18" i="19"/>
  <c r="J18" i="19"/>
  <c r="P18" i="19"/>
  <c r="R18" i="19"/>
  <c r="S18" i="19"/>
  <c r="B19" i="19"/>
  <c r="G19" i="19"/>
  <c r="J19" i="19"/>
  <c r="P19" i="19"/>
  <c r="R19" i="19"/>
  <c r="S19" i="19"/>
  <c r="B20" i="19"/>
  <c r="G20" i="19"/>
  <c r="J20" i="19"/>
  <c r="P20" i="19"/>
  <c r="R20" i="19"/>
  <c r="S20" i="19"/>
  <c r="B21" i="19"/>
  <c r="G21" i="19"/>
  <c r="J21" i="19"/>
  <c r="P21" i="19"/>
  <c r="R21" i="19"/>
  <c r="S21" i="19"/>
  <c r="B22" i="19"/>
  <c r="G22" i="19"/>
  <c r="J22" i="19"/>
  <c r="P22" i="19"/>
  <c r="R22" i="19"/>
  <c r="S22" i="19"/>
  <c r="B23" i="19"/>
  <c r="G23" i="19"/>
  <c r="J23" i="19"/>
  <c r="P23" i="19"/>
  <c r="R23" i="19"/>
  <c r="S23" i="19"/>
  <c r="B24" i="19"/>
  <c r="G24" i="19"/>
  <c r="J24" i="19"/>
  <c r="P24" i="19"/>
  <c r="R24" i="19"/>
  <c r="S24" i="19"/>
  <c r="B25" i="19"/>
  <c r="G25" i="19"/>
  <c r="J25" i="19"/>
  <c r="P25" i="19"/>
  <c r="R25" i="19"/>
  <c r="S25" i="19"/>
  <c r="B26" i="19"/>
  <c r="G26" i="19"/>
  <c r="J26" i="19"/>
  <c r="P26" i="19"/>
  <c r="R26" i="19"/>
  <c r="S26" i="19"/>
  <c r="B27" i="19"/>
  <c r="G27" i="19"/>
  <c r="J27" i="19"/>
  <c r="P27" i="19"/>
  <c r="R27" i="19"/>
  <c r="S27" i="19"/>
  <c r="B28" i="19"/>
  <c r="G28" i="19"/>
  <c r="J28" i="19"/>
  <c r="P28" i="19"/>
  <c r="R28" i="19"/>
  <c r="S28" i="19"/>
  <c r="B29" i="19"/>
  <c r="G29" i="19"/>
  <c r="J29" i="19"/>
  <c r="P29" i="19"/>
  <c r="R29" i="19"/>
  <c r="S29" i="19"/>
  <c r="B30" i="19"/>
  <c r="G30" i="19"/>
  <c r="J30" i="19"/>
  <c r="P30" i="19"/>
  <c r="R30" i="19"/>
  <c r="S30" i="19"/>
  <c r="B31" i="19"/>
  <c r="G31" i="19"/>
  <c r="J31" i="19"/>
  <c r="P31" i="19"/>
  <c r="R31" i="19"/>
  <c r="S31" i="19"/>
  <c r="B32" i="19"/>
  <c r="G32" i="19"/>
  <c r="J32" i="19"/>
  <c r="P32" i="19"/>
  <c r="R32" i="19"/>
  <c r="S32" i="19"/>
  <c r="B33" i="19"/>
  <c r="G33" i="19"/>
  <c r="J33" i="19"/>
  <c r="P33" i="19"/>
  <c r="R33" i="19"/>
  <c r="S33" i="19"/>
  <c r="B34" i="19"/>
  <c r="G34" i="19"/>
  <c r="J34" i="19"/>
  <c r="P34" i="19"/>
  <c r="R34" i="19"/>
  <c r="S34" i="19"/>
  <c r="B35" i="19"/>
  <c r="G35" i="19"/>
  <c r="J35" i="19"/>
  <c r="P35" i="19"/>
  <c r="R35" i="19"/>
  <c r="S35" i="19"/>
  <c r="B36" i="19"/>
  <c r="G36" i="19"/>
  <c r="J36" i="19"/>
  <c r="P36" i="19"/>
  <c r="R36" i="19"/>
  <c r="S36" i="19"/>
  <c r="B37" i="19"/>
  <c r="G37" i="19"/>
  <c r="J37" i="19"/>
  <c r="P37" i="19"/>
  <c r="R37" i="19"/>
  <c r="S37" i="19"/>
  <c r="B38" i="19"/>
  <c r="G38" i="19"/>
  <c r="J38" i="19"/>
  <c r="P38" i="19"/>
  <c r="R38" i="19"/>
  <c r="S38" i="19"/>
  <c r="B39" i="19"/>
  <c r="G39" i="19"/>
  <c r="J39" i="19"/>
  <c r="P39" i="19"/>
  <c r="R39" i="19"/>
  <c r="S39" i="19"/>
  <c r="B40" i="19"/>
  <c r="G40" i="19"/>
  <c r="J40" i="19"/>
  <c r="P40" i="19"/>
  <c r="R40" i="19"/>
  <c r="S40" i="19"/>
  <c r="B41" i="19"/>
  <c r="G41" i="19"/>
  <c r="J41" i="19"/>
  <c r="P41" i="19"/>
  <c r="R41" i="19"/>
  <c r="S41" i="19"/>
  <c r="B42" i="19"/>
  <c r="G42" i="19"/>
  <c r="J42" i="19"/>
  <c r="P42" i="19"/>
  <c r="R42" i="19"/>
  <c r="S42" i="19"/>
  <c r="B43" i="19"/>
  <c r="G43" i="19"/>
  <c r="J43" i="19"/>
  <c r="P43" i="19"/>
  <c r="R43" i="19"/>
  <c r="S43" i="19"/>
  <c r="B44" i="19"/>
  <c r="G44" i="19"/>
  <c r="J44" i="19"/>
  <c r="P44" i="19"/>
  <c r="R44" i="19"/>
  <c r="S44" i="19"/>
  <c r="B45" i="19"/>
  <c r="G45" i="19"/>
  <c r="J45" i="19"/>
  <c r="P45" i="19"/>
  <c r="R45" i="19"/>
  <c r="S45" i="19"/>
  <c r="B46" i="19"/>
  <c r="G46" i="19"/>
  <c r="J46" i="19"/>
  <c r="P46" i="19"/>
  <c r="R46" i="19"/>
  <c r="S46" i="19"/>
  <c r="B47" i="19"/>
  <c r="G47" i="19"/>
  <c r="J47" i="19"/>
  <c r="P47" i="19"/>
  <c r="R47" i="19"/>
  <c r="S47" i="19"/>
  <c r="B48" i="19"/>
  <c r="G48" i="19"/>
  <c r="J48" i="19"/>
  <c r="P48" i="19"/>
  <c r="R48" i="19"/>
  <c r="S48" i="19"/>
  <c r="B49" i="19"/>
  <c r="G49" i="19"/>
  <c r="J49" i="19"/>
  <c r="P49" i="19"/>
  <c r="R49" i="19"/>
  <c r="S49" i="19"/>
  <c r="B50" i="19"/>
  <c r="G50" i="19"/>
  <c r="J50" i="19"/>
  <c r="P50" i="19"/>
  <c r="R50" i="19"/>
  <c r="S50" i="19"/>
  <c r="B51" i="19"/>
  <c r="G51" i="19"/>
  <c r="J51" i="19"/>
  <c r="P51" i="19"/>
  <c r="R51" i="19"/>
  <c r="S51" i="19"/>
  <c r="B52" i="19"/>
  <c r="G52" i="19"/>
  <c r="J52" i="19"/>
  <c r="P52" i="19"/>
  <c r="R52" i="19"/>
  <c r="S52" i="19"/>
  <c r="B53" i="19"/>
  <c r="G53" i="19"/>
  <c r="J53" i="19"/>
  <c r="P53" i="19"/>
  <c r="R53" i="19"/>
  <c r="S53" i="19"/>
  <c r="S76" i="19"/>
  <c r="R76" i="19"/>
  <c r="P76" i="19"/>
  <c r="J76" i="19"/>
  <c r="G76" i="19"/>
  <c r="B76" i="19"/>
  <c r="S75" i="19"/>
  <c r="R75" i="19"/>
  <c r="P75" i="19"/>
  <c r="J75" i="19"/>
  <c r="G75" i="19"/>
  <c r="B75" i="19"/>
  <c r="S74" i="19"/>
  <c r="R74" i="19"/>
  <c r="P74" i="19"/>
  <c r="J74" i="19"/>
  <c r="G74" i="19"/>
  <c r="B74" i="19"/>
  <c r="S73" i="19"/>
  <c r="R73" i="19"/>
  <c r="P73" i="19"/>
  <c r="J73" i="19"/>
  <c r="G73" i="19"/>
  <c r="B73" i="19"/>
  <c r="S72" i="19"/>
  <c r="R72" i="19"/>
  <c r="P72" i="19"/>
  <c r="J72" i="19"/>
  <c r="G72" i="19"/>
  <c r="B72" i="19"/>
  <c r="S71" i="19"/>
  <c r="R71" i="19"/>
  <c r="P71" i="19"/>
  <c r="J71" i="19"/>
  <c r="G71" i="19"/>
  <c r="B71" i="19"/>
  <c r="S70" i="19"/>
  <c r="R70" i="19"/>
  <c r="P70" i="19"/>
  <c r="J70" i="19"/>
  <c r="G70" i="19"/>
  <c r="B70" i="19"/>
  <c r="S69" i="19"/>
  <c r="R69" i="19"/>
  <c r="P69" i="19"/>
  <c r="J69" i="19"/>
  <c r="G69" i="19"/>
  <c r="B69" i="19"/>
  <c r="S68" i="19"/>
  <c r="R68" i="19"/>
  <c r="P68" i="19"/>
  <c r="J68" i="19"/>
  <c r="G68" i="19"/>
  <c r="B68" i="19"/>
  <c r="S67" i="19"/>
  <c r="R67" i="19"/>
  <c r="P67" i="19"/>
  <c r="J67" i="19"/>
  <c r="G67" i="19"/>
  <c r="B67" i="19"/>
  <c r="S66" i="19"/>
  <c r="R66" i="19"/>
  <c r="P66" i="19"/>
  <c r="J66" i="19"/>
  <c r="G66" i="19"/>
  <c r="B66" i="19"/>
  <c r="S65" i="19"/>
  <c r="R65" i="19"/>
  <c r="P65" i="19"/>
  <c r="J65" i="19"/>
  <c r="G65" i="19"/>
  <c r="B65" i="19"/>
  <c r="S64" i="19"/>
  <c r="R64" i="19"/>
  <c r="P64" i="19"/>
  <c r="J64" i="19"/>
  <c r="G64" i="19"/>
  <c r="B64" i="19"/>
  <c r="S63" i="19"/>
  <c r="R63" i="19"/>
  <c r="P63" i="19"/>
  <c r="J63" i="19"/>
  <c r="G63" i="19"/>
  <c r="B63" i="19"/>
  <c r="S62" i="19"/>
  <c r="R62" i="19"/>
  <c r="P62" i="19"/>
  <c r="J62" i="19"/>
  <c r="G62" i="19"/>
  <c r="B62" i="19"/>
  <c r="S61" i="19"/>
  <c r="R61" i="19"/>
  <c r="P61" i="19"/>
  <c r="J61" i="19"/>
  <c r="G61" i="19"/>
  <c r="B61" i="19"/>
  <c r="S60" i="19"/>
  <c r="R60" i="19"/>
  <c r="P60" i="19"/>
  <c r="J60" i="19"/>
  <c r="G60" i="19"/>
  <c r="B60" i="19"/>
  <c r="S59" i="19"/>
  <c r="R59" i="19"/>
  <c r="P59" i="19"/>
  <c r="J59" i="19"/>
  <c r="G59" i="19"/>
  <c r="B59" i="19"/>
  <c r="S58" i="19"/>
  <c r="R58" i="19"/>
  <c r="P58" i="19"/>
  <c r="J58" i="19"/>
  <c r="G58" i="19"/>
  <c r="B58" i="19"/>
  <c r="S57" i="19"/>
  <c r="R57" i="19"/>
  <c r="P57" i="19"/>
  <c r="J57" i="19"/>
  <c r="G57" i="19"/>
  <c r="B57" i="19"/>
  <c r="S56" i="19"/>
  <c r="R56" i="19"/>
  <c r="P56" i="19"/>
  <c r="J56" i="19"/>
  <c r="G56" i="19"/>
  <c r="B56" i="19"/>
  <c r="S55" i="19"/>
  <c r="R55" i="19"/>
  <c r="P55" i="19"/>
  <c r="J55" i="19"/>
  <c r="G55" i="19"/>
  <c r="B55" i="19"/>
  <c r="S54" i="19"/>
  <c r="R54" i="19"/>
  <c r="P54" i="19"/>
  <c r="J54" i="19"/>
  <c r="G54" i="19"/>
  <c r="B54" i="19"/>
  <c r="B14" i="21"/>
  <c r="G14" i="21"/>
  <c r="J14" i="21"/>
  <c r="P14" i="21"/>
  <c r="R14" i="21"/>
  <c r="S14" i="21"/>
  <c r="B15" i="21"/>
  <c r="G15" i="21"/>
  <c r="J15" i="21"/>
  <c r="P15" i="21"/>
  <c r="R15" i="21"/>
  <c r="S15" i="21"/>
  <c r="B16" i="21"/>
  <c r="G16" i="21"/>
  <c r="J16" i="21"/>
  <c r="P16" i="21"/>
  <c r="R16" i="21"/>
  <c r="S16" i="21"/>
  <c r="B17" i="21"/>
  <c r="G17" i="21"/>
  <c r="J17" i="21"/>
  <c r="P17" i="21"/>
  <c r="R17" i="21"/>
  <c r="S17" i="21"/>
  <c r="B18" i="21"/>
  <c r="G18" i="21"/>
  <c r="J18" i="21"/>
  <c r="P18" i="21"/>
  <c r="R18" i="21"/>
  <c r="S18" i="21"/>
  <c r="B19" i="21"/>
  <c r="G19" i="21"/>
  <c r="J19" i="21"/>
  <c r="P19" i="21"/>
  <c r="R19" i="21"/>
  <c r="S19" i="21"/>
  <c r="B20" i="21"/>
  <c r="G20" i="21"/>
  <c r="J20" i="21"/>
  <c r="P20" i="21"/>
  <c r="R20" i="21"/>
  <c r="S20" i="21"/>
  <c r="B21" i="21"/>
  <c r="G21" i="21"/>
  <c r="J21" i="21"/>
  <c r="P21" i="21"/>
  <c r="R21" i="21"/>
  <c r="S21" i="21"/>
  <c r="B22" i="21"/>
  <c r="G22" i="21"/>
  <c r="J22" i="21"/>
  <c r="P22" i="21"/>
  <c r="R22" i="21"/>
  <c r="S22" i="21"/>
  <c r="B23" i="21"/>
  <c r="G23" i="21"/>
  <c r="J23" i="21"/>
  <c r="P23" i="21"/>
  <c r="R23" i="21"/>
  <c r="S23" i="21"/>
  <c r="B24" i="21"/>
  <c r="G24" i="21"/>
  <c r="J24" i="21"/>
  <c r="P24" i="21"/>
  <c r="R24" i="21"/>
  <c r="S24" i="21"/>
  <c r="B25" i="21"/>
  <c r="G25" i="21"/>
  <c r="J25" i="21"/>
  <c r="P25" i="21"/>
  <c r="R25" i="21"/>
  <c r="S25" i="21"/>
  <c r="B26" i="21"/>
  <c r="G26" i="21"/>
  <c r="J26" i="21"/>
  <c r="P26" i="21"/>
  <c r="R26" i="21"/>
  <c r="S26" i="21"/>
  <c r="B27" i="21"/>
  <c r="G27" i="21"/>
  <c r="J27" i="21"/>
  <c r="P27" i="21"/>
  <c r="R27" i="21"/>
  <c r="S27" i="21"/>
  <c r="B28" i="21"/>
  <c r="G28" i="21"/>
  <c r="J28" i="21"/>
  <c r="P28" i="21"/>
  <c r="R28" i="21"/>
  <c r="S28" i="21"/>
  <c r="B29" i="21"/>
  <c r="G29" i="21"/>
  <c r="J29" i="21"/>
  <c r="P29" i="21"/>
  <c r="R29" i="21"/>
  <c r="S29" i="21"/>
  <c r="B30" i="21"/>
  <c r="G30" i="21"/>
  <c r="J30" i="21"/>
  <c r="P30" i="21"/>
  <c r="R30" i="21"/>
  <c r="S30" i="21"/>
  <c r="B31" i="21"/>
  <c r="G31" i="21"/>
  <c r="J31" i="21"/>
  <c r="P31" i="21"/>
  <c r="R31" i="21"/>
  <c r="S31" i="21"/>
  <c r="B32" i="21"/>
  <c r="G32" i="21"/>
  <c r="J32" i="21"/>
  <c r="P32" i="21"/>
  <c r="R32" i="21"/>
  <c r="S32" i="21"/>
  <c r="B33" i="21"/>
  <c r="G33" i="21"/>
  <c r="J33" i="21"/>
  <c r="P33" i="21"/>
  <c r="R33" i="21"/>
  <c r="S33" i="21"/>
  <c r="B34" i="21"/>
  <c r="G34" i="21"/>
  <c r="J34" i="21"/>
  <c r="P34" i="21"/>
  <c r="R34" i="21"/>
  <c r="S34" i="21"/>
  <c r="B35" i="21"/>
  <c r="G35" i="21"/>
  <c r="J35" i="21"/>
  <c r="P35" i="21"/>
  <c r="R35" i="21"/>
  <c r="S35" i="21"/>
  <c r="B36" i="21"/>
  <c r="G36" i="21"/>
  <c r="J36" i="21"/>
  <c r="P36" i="21"/>
  <c r="R36" i="21"/>
  <c r="S36" i="21"/>
  <c r="B37" i="21"/>
  <c r="G37" i="21"/>
  <c r="J37" i="21"/>
  <c r="P37" i="21"/>
  <c r="R37" i="21"/>
  <c r="S37" i="21"/>
  <c r="B38" i="21"/>
  <c r="G38" i="21"/>
  <c r="J38" i="21"/>
  <c r="P38" i="21"/>
  <c r="R38" i="21"/>
  <c r="S38" i="21"/>
  <c r="B39" i="21"/>
  <c r="G39" i="21"/>
  <c r="J39" i="21"/>
  <c r="P39" i="21"/>
  <c r="R39" i="21"/>
  <c r="S39" i="21"/>
  <c r="B40" i="21"/>
  <c r="G40" i="21"/>
  <c r="J40" i="21"/>
  <c r="P40" i="21"/>
  <c r="R40" i="21"/>
  <c r="S40" i="21"/>
  <c r="B41" i="21"/>
  <c r="G41" i="21"/>
  <c r="J41" i="21"/>
  <c r="P41" i="21"/>
  <c r="R41" i="21"/>
  <c r="S41" i="21"/>
  <c r="B42" i="21"/>
  <c r="G42" i="21"/>
  <c r="J42" i="21"/>
  <c r="P42" i="21"/>
  <c r="R42" i="21"/>
  <c r="S42" i="21"/>
  <c r="B43" i="21"/>
  <c r="G43" i="21"/>
  <c r="J43" i="21"/>
  <c r="P43" i="21"/>
  <c r="R43" i="21"/>
  <c r="S43" i="21"/>
  <c r="B44" i="21"/>
  <c r="G44" i="21"/>
  <c r="J44" i="21"/>
  <c r="P44" i="21"/>
  <c r="R44" i="21"/>
  <c r="S44" i="21"/>
  <c r="B45" i="21"/>
  <c r="G45" i="21"/>
  <c r="J45" i="21"/>
  <c r="P45" i="21"/>
  <c r="R45" i="21"/>
  <c r="S45" i="21"/>
  <c r="B46" i="21"/>
  <c r="G46" i="21"/>
  <c r="J46" i="21"/>
  <c r="P46" i="21"/>
  <c r="R46" i="21"/>
  <c r="S46" i="21"/>
  <c r="B47" i="21"/>
  <c r="G47" i="21"/>
  <c r="J47" i="21"/>
  <c r="P47" i="21"/>
  <c r="R47" i="21"/>
  <c r="S47" i="21"/>
  <c r="B48" i="21"/>
  <c r="G48" i="21"/>
  <c r="J48" i="21"/>
  <c r="P48" i="21"/>
  <c r="R48" i="21"/>
  <c r="S48" i="21"/>
  <c r="B49" i="21"/>
  <c r="G49" i="21"/>
  <c r="J49" i="21"/>
  <c r="P49" i="21"/>
  <c r="R49" i="21"/>
  <c r="S49" i="21"/>
  <c r="B50" i="21"/>
  <c r="G50" i="21"/>
  <c r="J50" i="21"/>
  <c r="P50" i="21"/>
  <c r="R50" i="21"/>
  <c r="S50" i="21"/>
  <c r="B51" i="21"/>
  <c r="G51" i="21"/>
  <c r="J51" i="21"/>
  <c r="P51" i="21"/>
  <c r="R51" i="21"/>
  <c r="S51" i="21"/>
  <c r="B52" i="21"/>
  <c r="G52" i="21"/>
  <c r="J52" i="21"/>
  <c r="P52" i="21"/>
  <c r="R52" i="21"/>
  <c r="S52" i="21"/>
  <c r="B53" i="21"/>
  <c r="G53" i="21"/>
  <c r="J53" i="21"/>
  <c r="P53" i="21"/>
  <c r="R53" i="21"/>
  <c r="S53" i="21"/>
  <c r="B54" i="21"/>
  <c r="G54" i="21"/>
  <c r="J54" i="21"/>
  <c r="P54" i="21"/>
  <c r="R54" i="21"/>
  <c r="S54" i="21"/>
  <c r="B55" i="21"/>
  <c r="G55" i="21"/>
  <c r="J55" i="21"/>
  <c r="P55" i="21"/>
  <c r="R55" i="21"/>
  <c r="S55" i="21"/>
  <c r="B56" i="21"/>
  <c r="G56" i="21"/>
  <c r="J56" i="21"/>
  <c r="P56" i="21"/>
  <c r="R56" i="21"/>
  <c r="S56" i="21"/>
  <c r="B57" i="21"/>
  <c r="G57" i="21"/>
  <c r="J57" i="21"/>
  <c r="P57" i="21"/>
  <c r="R57" i="21"/>
  <c r="S57" i="21"/>
  <c r="B58" i="21"/>
  <c r="G58" i="21"/>
  <c r="J58" i="21"/>
  <c r="P58" i="21"/>
  <c r="R58" i="21"/>
  <c r="S58" i="21"/>
  <c r="B59" i="21"/>
  <c r="G59" i="21"/>
  <c r="J59" i="21"/>
  <c r="P59" i="21"/>
  <c r="R59" i="21"/>
  <c r="S59" i="21"/>
  <c r="B60" i="21"/>
  <c r="G60" i="21"/>
  <c r="J60" i="21"/>
  <c r="P60" i="21"/>
  <c r="R60" i="21"/>
  <c r="S60" i="21"/>
  <c r="B61" i="21"/>
  <c r="G61" i="21"/>
  <c r="J61" i="21"/>
  <c r="P61" i="21"/>
  <c r="R61" i="21"/>
  <c r="S61" i="21"/>
  <c r="B62" i="21"/>
  <c r="G62" i="21"/>
  <c r="J62" i="21"/>
  <c r="P62" i="21"/>
  <c r="R62" i="21"/>
  <c r="S62" i="21"/>
  <c r="B63" i="21"/>
  <c r="G63" i="21"/>
  <c r="J63" i="21"/>
  <c r="P63" i="21"/>
  <c r="R63" i="21"/>
  <c r="S63" i="21"/>
  <c r="B64" i="21"/>
  <c r="G64" i="21"/>
  <c r="J64" i="21"/>
  <c r="P64" i="21"/>
  <c r="R64" i="21"/>
  <c r="S64" i="21"/>
  <c r="B65" i="21"/>
  <c r="G65" i="21"/>
  <c r="J65" i="21"/>
  <c r="P65" i="21"/>
  <c r="R65" i="21"/>
  <c r="S65" i="21"/>
  <c r="B66" i="21"/>
  <c r="G66" i="21"/>
  <c r="J66" i="21"/>
  <c r="P66" i="21"/>
  <c r="R66" i="21"/>
  <c r="S66" i="21"/>
  <c r="B67" i="21"/>
  <c r="G67" i="21"/>
  <c r="J67" i="21"/>
  <c r="P67" i="21"/>
  <c r="R67" i="21"/>
  <c r="S67" i="21"/>
  <c r="B68" i="21"/>
  <c r="G68" i="21"/>
  <c r="J68" i="21"/>
  <c r="P68" i="21"/>
  <c r="R68" i="21"/>
  <c r="S68" i="21"/>
  <c r="B69" i="21"/>
  <c r="G69" i="21"/>
  <c r="J69" i="21"/>
  <c r="P69" i="21"/>
  <c r="R69" i="21"/>
  <c r="S69" i="21"/>
  <c r="B70" i="21"/>
  <c r="G70" i="21"/>
  <c r="J70" i="21"/>
  <c r="P70" i="21"/>
  <c r="R70" i="21"/>
  <c r="S70" i="21"/>
  <c r="B71" i="21"/>
  <c r="G71" i="21"/>
  <c r="J71" i="21"/>
  <c r="P71" i="21"/>
  <c r="R71" i="21"/>
  <c r="S71" i="21"/>
  <c r="B72" i="21"/>
  <c r="G72" i="21"/>
  <c r="J72" i="21"/>
  <c r="P72" i="21"/>
  <c r="R72" i="21"/>
  <c r="S72" i="21"/>
  <c r="B73" i="21"/>
  <c r="G73" i="21"/>
  <c r="J73" i="21"/>
  <c r="P73" i="21"/>
  <c r="R73" i="21"/>
  <c r="S73" i="21"/>
  <c r="B74" i="21"/>
  <c r="G74" i="21"/>
  <c r="J74" i="21"/>
  <c r="P74" i="21"/>
  <c r="R74" i="21"/>
  <c r="S74" i="21"/>
  <c r="B75" i="21"/>
  <c r="G75" i="21"/>
  <c r="J75" i="21"/>
  <c r="P75" i="21"/>
  <c r="R75" i="21"/>
  <c r="S75" i="21"/>
  <c r="B76" i="21"/>
  <c r="G76" i="21"/>
  <c r="J76" i="21"/>
  <c r="P76" i="21"/>
  <c r="R76" i="21"/>
  <c r="S76" i="21"/>
  <c r="B77" i="21"/>
  <c r="G77" i="21"/>
  <c r="J77" i="21"/>
  <c r="P77" i="21"/>
  <c r="R77" i="21"/>
  <c r="S77" i="21"/>
  <c r="B78" i="21"/>
  <c r="G78" i="21"/>
  <c r="J78" i="21"/>
  <c r="P78" i="21"/>
  <c r="R78" i="21"/>
  <c r="S78" i="21"/>
  <c r="B79" i="21"/>
  <c r="G79" i="21"/>
  <c r="J79" i="21"/>
  <c r="P79" i="21"/>
  <c r="R79" i="21"/>
  <c r="S79" i="21"/>
  <c r="B80" i="21"/>
  <c r="G80" i="21"/>
  <c r="J80" i="21"/>
  <c r="P80" i="21"/>
  <c r="R80" i="21"/>
  <c r="S80" i="21"/>
  <c r="B81" i="21"/>
  <c r="G81" i="21"/>
  <c r="J81" i="21"/>
  <c r="P81" i="21"/>
  <c r="R81" i="21"/>
  <c r="S81" i="21"/>
  <c r="B82" i="21"/>
  <c r="G82" i="21"/>
  <c r="J82" i="21"/>
  <c r="P82" i="21"/>
  <c r="R82" i="21"/>
  <c r="S82" i="21"/>
  <c r="B83" i="21"/>
  <c r="G83" i="21"/>
  <c r="J83" i="21"/>
  <c r="P83" i="21"/>
  <c r="R83" i="21"/>
  <c r="S83" i="21"/>
  <c r="B9" i="22"/>
  <c r="G9" i="22"/>
  <c r="J9" i="22"/>
  <c r="P9" i="22"/>
  <c r="R9" i="22"/>
  <c r="S9" i="22"/>
  <c r="B10" i="22"/>
  <c r="G10" i="22"/>
  <c r="J10" i="22"/>
  <c r="P10" i="22"/>
  <c r="R10" i="22"/>
  <c r="S10" i="22"/>
  <c r="B11" i="22"/>
  <c r="G11" i="22"/>
  <c r="J11" i="22"/>
  <c r="P11" i="22"/>
  <c r="R11" i="22"/>
  <c r="S11" i="22"/>
  <c r="B12" i="22"/>
  <c r="G12" i="22"/>
  <c r="J12" i="22"/>
  <c r="P12" i="22"/>
  <c r="R12" i="22"/>
  <c r="S12" i="22"/>
  <c r="B13" i="22"/>
  <c r="G13" i="22"/>
  <c r="J13" i="22"/>
  <c r="P13" i="22"/>
  <c r="R13" i="22"/>
  <c r="S13" i="22"/>
  <c r="B14" i="22"/>
  <c r="G14" i="22"/>
  <c r="J14" i="22"/>
  <c r="P14" i="22"/>
  <c r="R14" i="22"/>
  <c r="S14" i="22"/>
  <c r="B15" i="22"/>
  <c r="G15" i="22"/>
  <c r="J15" i="22"/>
  <c r="P15" i="22"/>
  <c r="R15" i="22"/>
  <c r="S15" i="22"/>
  <c r="B16" i="22"/>
  <c r="G16" i="22"/>
  <c r="J16" i="22"/>
  <c r="P16" i="22"/>
  <c r="R16" i="22"/>
  <c r="S16" i="22"/>
  <c r="B17" i="22"/>
  <c r="G17" i="22"/>
  <c r="J17" i="22"/>
  <c r="P17" i="22"/>
  <c r="R17" i="22"/>
  <c r="S17" i="22"/>
  <c r="B18" i="22"/>
  <c r="G18" i="22"/>
  <c r="J18" i="22"/>
  <c r="P18" i="22"/>
  <c r="R18" i="22"/>
  <c r="S18" i="22"/>
  <c r="B19" i="22"/>
  <c r="G19" i="22"/>
  <c r="J19" i="22"/>
  <c r="P19" i="22"/>
  <c r="R19" i="22"/>
  <c r="S19" i="22"/>
  <c r="B20" i="22"/>
  <c r="G20" i="22"/>
  <c r="J20" i="22"/>
  <c r="P20" i="22"/>
  <c r="R20" i="22"/>
  <c r="S20" i="22"/>
  <c r="B21" i="22"/>
  <c r="G21" i="22"/>
  <c r="J21" i="22"/>
  <c r="P21" i="22"/>
  <c r="R21" i="22"/>
  <c r="S21" i="22"/>
  <c r="B22" i="22"/>
  <c r="G22" i="22"/>
  <c r="J22" i="22"/>
  <c r="P22" i="22"/>
  <c r="R22" i="22"/>
  <c r="S22" i="22"/>
  <c r="B23" i="22"/>
  <c r="G23" i="22"/>
  <c r="J23" i="22"/>
  <c r="P23" i="22"/>
  <c r="R23" i="22"/>
  <c r="S23" i="22"/>
  <c r="B24" i="22"/>
  <c r="G24" i="22"/>
  <c r="J24" i="22"/>
  <c r="P24" i="22"/>
  <c r="R24" i="22"/>
  <c r="S24" i="22"/>
  <c r="B25" i="22"/>
  <c r="G25" i="22"/>
  <c r="J25" i="22"/>
  <c r="P25" i="22"/>
  <c r="R25" i="22"/>
  <c r="S25" i="22"/>
  <c r="B26" i="22"/>
  <c r="G26" i="22"/>
  <c r="J26" i="22"/>
  <c r="P26" i="22"/>
  <c r="R26" i="22"/>
  <c r="S26" i="22"/>
  <c r="B27" i="22"/>
  <c r="G27" i="22"/>
  <c r="J27" i="22"/>
  <c r="P27" i="22"/>
  <c r="R27" i="22"/>
  <c r="S27" i="22"/>
  <c r="B28" i="22"/>
  <c r="G28" i="22"/>
  <c r="J28" i="22"/>
  <c r="P28" i="22"/>
  <c r="R28" i="22"/>
  <c r="S28" i="22"/>
  <c r="B29" i="22"/>
  <c r="G29" i="22"/>
  <c r="J29" i="22"/>
  <c r="P29" i="22"/>
  <c r="R29" i="22"/>
  <c r="S29" i="22"/>
  <c r="B30" i="22"/>
  <c r="G30" i="22"/>
  <c r="J30" i="22"/>
  <c r="P30" i="22"/>
  <c r="R30" i="22"/>
  <c r="S30" i="22"/>
  <c r="B31" i="22"/>
  <c r="G31" i="22"/>
  <c r="J31" i="22"/>
  <c r="P31" i="22"/>
  <c r="R31" i="22"/>
  <c r="S31" i="22"/>
  <c r="B32" i="22"/>
  <c r="G32" i="22"/>
  <c r="J32" i="22"/>
  <c r="P32" i="22"/>
  <c r="R32" i="22"/>
  <c r="S32" i="22"/>
  <c r="B33" i="22"/>
  <c r="G33" i="22"/>
  <c r="J33" i="22"/>
  <c r="P33" i="22"/>
  <c r="R33" i="22"/>
  <c r="S33" i="22"/>
  <c r="B34" i="22"/>
  <c r="G34" i="22"/>
  <c r="J34" i="22"/>
  <c r="P34" i="22"/>
  <c r="R34" i="22"/>
  <c r="S34" i="22"/>
  <c r="B35" i="22"/>
  <c r="G35" i="22"/>
  <c r="J35" i="22"/>
  <c r="P35" i="22"/>
  <c r="R35" i="22"/>
  <c r="S35" i="22"/>
  <c r="B36" i="22"/>
  <c r="G36" i="22"/>
  <c r="J36" i="22"/>
  <c r="P36" i="22"/>
  <c r="R36" i="22"/>
  <c r="S36" i="22"/>
  <c r="B37" i="22"/>
  <c r="G37" i="22"/>
  <c r="J37" i="22"/>
  <c r="P37" i="22"/>
  <c r="R37" i="22"/>
  <c r="S37" i="22"/>
  <c r="B38" i="22"/>
  <c r="G38" i="22"/>
  <c r="J38" i="22"/>
  <c r="P38" i="22"/>
  <c r="R38" i="22"/>
  <c r="S38" i="22"/>
  <c r="B39" i="22"/>
  <c r="G39" i="22"/>
  <c r="J39" i="22"/>
  <c r="P39" i="22"/>
  <c r="R39" i="22"/>
  <c r="S39" i="22"/>
  <c r="B40" i="22"/>
  <c r="G40" i="22"/>
  <c r="J40" i="22"/>
  <c r="P40" i="22"/>
  <c r="R40" i="22"/>
  <c r="S40" i="22"/>
  <c r="B41" i="22"/>
  <c r="G41" i="22"/>
  <c r="J41" i="22"/>
  <c r="P41" i="22"/>
  <c r="R41" i="22"/>
  <c r="S41" i="22"/>
  <c r="B42" i="22"/>
  <c r="G42" i="22"/>
  <c r="J42" i="22"/>
  <c r="P42" i="22"/>
  <c r="R42" i="22"/>
  <c r="S42" i="22"/>
  <c r="B43" i="22"/>
  <c r="G43" i="22"/>
  <c r="J43" i="22"/>
  <c r="P43" i="22"/>
  <c r="R43" i="22"/>
  <c r="S43" i="22"/>
  <c r="B44" i="22"/>
  <c r="G44" i="22"/>
  <c r="J44" i="22"/>
  <c r="P44" i="22"/>
  <c r="R44" i="22"/>
  <c r="S44" i="22"/>
  <c r="B45" i="22"/>
  <c r="G45" i="22"/>
  <c r="J45" i="22"/>
  <c r="P45" i="22"/>
  <c r="R45" i="22"/>
  <c r="S45" i="22"/>
  <c r="B46" i="22"/>
  <c r="G46" i="22"/>
  <c r="J46" i="22"/>
  <c r="P46" i="22"/>
  <c r="R46" i="22"/>
  <c r="S46" i="22"/>
  <c r="B47" i="22"/>
  <c r="G47" i="22"/>
  <c r="J47" i="22"/>
  <c r="P47" i="22"/>
  <c r="R47" i="22"/>
  <c r="S47" i="22"/>
  <c r="B48" i="22"/>
  <c r="G48" i="22"/>
  <c r="J48" i="22"/>
  <c r="P48" i="22"/>
  <c r="R48" i="22"/>
  <c r="S48" i="22"/>
  <c r="B49" i="22"/>
  <c r="G49" i="22"/>
  <c r="J49" i="22"/>
  <c r="P49" i="22"/>
  <c r="R49" i="22"/>
  <c r="S49" i="22"/>
  <c r="B50" i="22"/>
  <c r="G50" i="22"/>
  <c r="J50" i="22"/>
  <c r="P50" i="22"/>
  <c r="R50" i="22"/>
  <c r="S50" i="22"/>
  <c r="B51" i="22"/>
  <c r="G51" i="22"/>
  <c r="J51" i="22"/>
  <c r="P51" i="22"/>
  <c r="R51" i="22"/>
  <c r="S51" i="22"/>
  <c r="B52" i="22"/>
  <c r="G52" i="22"/>
  <c r="J52" i="22"/>
  <c r="P52" i="22"/>
  <c r="R52" i="22"/>
  <c r="S52" i="22"/>
  <c r="B53" i="22"/>
  <c r="G53" i="22"/>
  <c r="J53" i="22"/>
  <c r="P53" i="22"/>
  <c r="R53" i="22"/>
  <c r="S53" i="22"/>
  <c r="B54" i="22"/>
  <c r="G54" i="22"/>
  <c r="J54" i="22"/>
  <c r="P54" i="22"/>
  <c r="R54" i="22"/>
  <c r="S54" i="22"/>
  <c r="B55" i="22"/>
  <c r="G55" i="22"/>
  <c r="J55" i="22"/>
  <c r="P55" i="22"/>
  <c r="R55" i="22"/>
  <c r="S55" i="22"/>
  <c r="B56" i="22"/>
  <c r="G56" i="22"/>
  <c r="J56" i="22"/>
  <c r="P56" i="22"/>
  <c r="R56" i="22"/>
  <c r="S56" i="22"/>
  <c r="B57" i="22"/>
  <c r="G57" i="22"/>
  <c r="J57" i="22"/>
  <c r="P57" i="22"/>
  <c r="R57" i="22"/>
  <c r="S57" i="22"/>
  <c r="B58" i="22"/>
  <c r="G58" i="22"/>
  <c r="J58" i="22"/>
  <c r="P58" i="22"/>
  <c r="R58" i="22"/>
  <c r="S58" i="22"/>
  <c r="B59" i="22"/>
  <c r="G59" i="22"/>
  <c r="J59" i="22"/>
  <c r="P59" i="22"/>
  <c r="R59" i="22"/>
  <c r="S59" i="22"/>
  <c r="B60" i="22"/>
  <c r="G60" i="22"/>
  <c r="J60" i="22"/>
  <c r="P60" i="22"/>
  <c r="R60" i="22"/>
  <c r="S60" i="22"/>
  <c r="B61" i="22"/>
  <c r="G61" i="22"/>
  <c r="J61" i="22"/>
  <c r="P61" i="22"/>
  <c r="R61" i="22"/>
  <c r="S61" i="22"/>
  <c r="B62" i="22"/>
  <c r="G62" i="22"/>
  <c r="J62" i="22"/>
  <c r="P62" i="22"/>
  <c r="R62" i="22"/>
  <c r="S62" i="22"/>
  <c r="B63" i="22"/>
  <c r="G63" i="22"/>
  <c r="J63" i="22"/>
  <c r="P63" i="22"/>
  <c r="R63" i="22"/>
  <c r="S63" i="22"/>
  <c r="B64" i="22"/>
  <c r="G64" i="22"/>
  <c r="J64" i="22"/>
  <c r="P64" i="22"/>
  <c r="R64" i="22"/>
  <c r="S64" i="22"/>
  <c r="B65" i="22"/>
  <c r="G65" i="22"/>
  <c r="J65" i="22"/>
  <c r="P65" i="22"/>
  <c r="R65" i="22"/>
  <c r="S65" i="22"/>
  <c r="B66" i="22"/>
  <c r="G66" i="22"/>
  <c r="J66" i="22"/>
  <c r="P66" i="22"/>
  <c r="R66" i="22"/>
  <c r="S66" i="22"/>
  <c r="B67" i="22"/>
  <c r="G67" i="22"/>
  <c r="J67" i="22"/>
  <c r="P67" i="22"/>
  <c r="R67" i="22"/>
  <c r="S67" i="22"/>
  <c r="B68" i="22"/>
  <c r="G68" i="22"/>
  <c r="J68" i="22"/>
  <c r="P68" i="22"/>
  <c r="R68" i="22"/>
  <c r="S68" i="22"/>
  <c r="B69" i="22"/>
  <c r="G69" i="22"/>
  <c r="J69" i="22"/>
  <c r="P69" i="22"/>
  <c r="R69" i="22"/>
  <c r="S69" i="22"/>
  <c r="B70" i="22"/>
  <c r="G70" i="22"/>
  <c r="J70" i="22"/>
  <c r="P70" i="22"/>
  <c r="R70" i="22"/>
  <c r="S70" i="22"/>
  <c r="B71" i="22"/>
  <c r="G71" i="22"/>
  <c r="J71" i="22"/>
  <c r="P71" i="22"/>
  <c r="R71" i="22"/>
  <c r="S71" i="22"/>
  <c r="B72" i="22"/>
  <c r="G72" i="22"/>
  <c r="J72" i="22"/>
  <c r="P72" i="22"/>
  <c r="R72" i="22"/>
  <c r="S72" i="22"/>
  <c r="B73" i="22"/>
  <c r="G73" i="22"/>
  <c r="J73" i="22"/>
  <c r="P73" i="22"/>
  <c r="R73" i="22"/>
  <c r="S73" i="22"/>
  <c r="B74" i="22"/>
  <c r="G74" i="22"/>
  <c r="J74" i="22"/>
  <c r="P74" i="22"/>
  <c r="R74" i="22"/>
  <c r="S74" i="22"/>
  <c r="B75" i="22"/>
  <c r="G75" i="22"/>
  <c r="J75" i="22"/>
  <c r="P75" i="22"/>
  <c r="R75" i="22"/>
  <c r="S75" i="22"/>
  <c r="B76" i="22"/>
  <c r="G76" i="22"/>
  <c r="J76" i="22"/>
  <c r="P76" i="22"/>
  <c r="R76" i="22"/>
  <c r="S76" i="22"/>
  <c r="B77" i="22"/>
  <c r="G77" i="22"/>
  <c r="J77" i="22"/>
  <c r="P77" i="22"/>
  <c r="R77" i="22"/>
  <c r="S77" i="22"/>
  <c r="B78" i="22"/>
  <c r="G78" i="22"/>
  <c r="J78" i="22"/>
  <c r="P78" i="22"/>
  <c r="R78" i="22"/>
  <c r="S78" i="22"/>
  <c r="B79" i="22"/>
  <c r="G79" i="22"/>
  <c r="J79" i="22"/>
  <c r="P79" i="22"/>
  <c r="R79" i="22"/>
  <c r="S79" i="22"/>
  <c r="B80" i="22"/>
  <c r="G80" i="22"/>
  <c r="J80" i="22"/>
  <c r="P80" i="22"/>
  <c r="R80" i="22"/>
  <c r="S80" i="22"/>
  <c r="B81" i="22"/>
  <c r="G81" i="22"/>
  <c r="J81" i="22"/>
  <c r="P81" i="22"/>
  <c r="R81" i="22"/>
  <c r="S81" i="22"/>
  <c r="B82" i="22"/>
  <c r="G82" i="22"/>
  <c r="J82" i="22"/>
  <c r="P82" i="22"/>
  <c r="R82" i="22"/>
  <c r="S82" i="22"/>
  <c r="B83" i="22"/>
  <c r="G83" i="22"/>
  <c r="J83" i="22"/>
  <c r="P83" i="22"/>
  <c r="R83" i="22"/>
  <c r="S83" i="22"/>
  <c r="B84" i="22"/>
  <c r="G84" i="22"/>
  <c r="J84" i="22"/>
  <c r="P84" i="22"/>
  <c r="R84" i="22"/>
  <c r="S84" i="22"/>
  <c r="B85" i="22"/>
  <c r="G85" i="22"/>
  <c r="J85" i="22"/>
  <c r="P85" i="22"/>
  <c r="R85" i="22"/>
  <c r="S85" i="22"/>
  <c r="B86" i="22"/>
  <c r="G86" i="22"/>
  <c r="J86" i="22"/>
  <c r="P86" i="22"/>
  <c r="R86" i="22"/>
  <c r="S86" i="22"/>
  <c r="B87" i="22"/>
  <c r="G87" i="22"/>
  <c r="J87" i="22"/>
  <c r="P87" i="22"/>
  <c r="R87" i="22"/>
  <c r="S87" i="22"/>
  <c r="B88" i="22"/>
  <c r="G88" i="22"/>
  <c r="J88" i="22"/>
  <c r="P88" i="22"/>
  <c r="R88" i="22"/>
  <c r="S88" i="22"/>
  <c r="B89" i="22"/>
  <c r="G89" i="22"/>
  <c r="J89" i="22"/>
  <c r="P89" i="22"/>
  <c r="R89" i="22"/>
  <c r="S89" i="22"/>
  <c r="B90" i="22"/>
  <c r="G90" i="22"/>
  <c r="J90" i="22"/>
  <c r="P90" i="22"/>
  <c r="R90" i="22"/>
  <c r="S90" i="22"/>
  <c r="B91" i="22"/>
  <c r="G91" i="22"/>
  <c r="J91" i="22"/>
  <c r="P91" i="22"/>
  <c r="R91" i="22"/>
  <c r="S91" i="22"/>
  <c r="B92" i="22"/>
  <c r="G92" i="22"/>
  <c r="J92" i="22"/>
  <c r="P92" i="22"/>
  <c r="R92" i="22"/>
  <c r="S92" i="22"/>
  <c r="B93" i="22"/>
  <c r="G93" i="22"/>
  <c r="J93" i="22"/>
  <c r="P93" i="22"/>
  <c r="R93" i="22"/>
  <c r="S93" i="22"/>
  <c r="B94" i="22"/>
  <c r="G94" i="22"/>
  <c r="J94" i="22"/>
  <c r="P94" i="22"/>
  <c r="R94" i="22"/>
  <c r="S94" i="22"/>
  <c r="B95" i="22"/>
  <c r="G95" i="22"/>
  <c r="J95" i="22"/>
  <c r="P95" i="22"/>
  <c r="R95" i="22"/>
  <c r="S95" i="22"/>
  <c r="B96" i="22"/>
  <c r="G96" i="22"/>
  <c r="J96" i="22"/>
  <c r="P96" i="22"/>
  <c r="R96" i="22"/>
  <c r="S96" i="22"/>
  <c r="B97" i="22"/>
  <c r="G97" i="22"/>
  <c r="J97" i="22"/>
  <c r="P97" i="22"/>
  <c r="R97" i="22"/>
  <c r="S97" i="22"/>
  <c r="B98" i="22"/>
  <c r="G98" i="22"/>
  <c r="J98" i="22"/>
  <c r="P98" i="22"/>
  <c r="R98" i="22"/>
  <c r="S98" i="22"/>
  <c r="B99" i="22"/>
  <c r="G99" i="22"/>
  <c r="J99" i="22"/>
  <c r="P99" i="22"/>
  <c r="R99" i="22"/>
  <c r="S99" i="22"/>
  <c r="B100" i="22"/>
  <c r="G100" i="22"/>
  <c r="J100" i="22"/>
  <c r="P100" i="22"/>
  <c r="R100" i="22"/>
  <c r="S100" i="22"/>
  <c r="B101" i="22"/>
  <c r="G101" i="22"/>
  <c r="J101" i="22"/>
  <c r="P101" i="22"/>
  <c r="R101" i="22"/>
  <c r="S101" i="22"/>
  <c r="B102" i="22"/>
  <c r="G102" i="22"/>
  <c r="J102" i="22"/>
  <c r="P102" i="22"/>
  <c r="R102" i="22"/>
  <c r="S102" i="22"/>
  <c r="B103" i="22"/>
  <c r="G103" i="22"/>
  <c r="J103" i="22"/>
  <c r="P103" i="22"/>
  <c r="R103" i="22"/>
  <c r="S103" i="22"/>
  <c r="B104" i="22"/>
  <c r="G104" i="22"/>
  <c r="J104" i="22"/>
  <c r="P104" i="22"/>
  <c r="R104" i="22"/>
  <c r="S104" i="22"/>
  <c r="S82" i="4"/>
  <c r="R82" i="4"/>
  <c r="P82" i="4"/>
  <c r="J82" i="4"/>
  <c r="G82" i="4"/>
  <c r="B82" i="4"/>
  <c r="S81" i="4"/>
  <c r="R81" i="4"/>
  <c r="P81" i="4"/>
  <c r="J81" i="4"/>
  <c r="G81" i="4"/>
  <c r="B81" i="4"/>
  <c r="S80" i="4"/>
  <c r="R80" i="4"/>
  <c r="P80" i="4"/>
  <c r="J80" i="4"/>
  <c r="G80" i="4"/>
  <c r="B80" i="4"/>
  <c r="S79" i="4"/>
  <c r="R79" i="4"/>
  <c r="P79" i="4"/>
  <c r="J79" i="4"/>
  <c r="G79" i="4"/>
  <c r="B79" i="4"/>
  <c r="S78" i="4"/>
  <c r="R78" i="4"/>
  <c r="P78" i="4"/>
  <c r="J78" i="4"/>
  <c r="G78" i="4"/>
  <c r="B78" i="4"/>
  <c r="S77" i="4"/>
  <c r="R77" i="4"/>
  <c r="P77" i="4"/>
  <c r="J77" i="4"/>
  <c r="G77" i="4"/>
  <c r="B77" i="4"/>
  <c r="S76" i="4"/>
  <c r="R76" i="4"/>
  <c r="P76" i="4"/>
  <c r="J76" i="4"/>
  <c r="G76" i="4"/>
  <c r="B76" i="4"/>
  <c r="S75" i="4"/>
  <c r="R75" i="4"/>
  <c r="P75" i="4"/>
  <c r="J75" i="4"/>
  <c r="G75" i="4"/>
  <c r="B75" i="4"/>
  <c r="S74" i="4"/>
  <c r="R74" i="4"/>
  <c r="P74" i="4"/>
  <c r="J74" i="4"/>
  <c r="G74" i="4"/>
  <c r="B74" i="4"/>
  <c r="S73" i="4"/>
  <c r="R73" i="4"/>
  <c r="P73" i="4"/>
  <c r="J73" i="4"/>
  <c r="G73" i="4"/>
  <c r="B73" i="4"/>
  <c r="S72" i="4"/>
  <c r="R72" i="4"/>
  <c r="P72" i="4"/>
  <c r="J72" i="4"/>
  <c r="G72" i="4"/>
  <c r="B72" i="4"/>
  <c r="S71" i="4"/>
  <c r="R71" i="4"/>
  <c r="P71" i="4"/>
  <c r="J71" i="4"/>
  <c r="G71" i="4"/>
  <c r="B71" i="4"/>
  <c r="S70" i="4"/>
  <c r="R70" i="4"/>
  <c r="P70" i="4"/>
  <c r="J70" i="4"/>
  <c r="G70" i="4"/>
  <c r="B70" i="4"/>
  <c r="S69" i="4"/>
  <c r="R69" i="4"/>
  <c r="P69" i="4"/>
  <c r="J69" i="4"/>
  <c r="G69" i="4"/>
  <c r="B69" i="4"/>
  <c r="S68" i="4"/>
  <c r="R68" i="4"/>
  <c r="P68" i="4"/>
  <c r="J68" i="4"/>
  <c r="G68" i="4"/>
  <c r="B68" i="4"/>
  <c r="S67" i="4"/>
  <c r="R67" i="4"/>
  <c r="P67" i="4"/>
  <c r="J67" i="4"/>
  <c r="G67" i="4"/>
  <c r="B67" i="4"/>
  <c r="S66" i="4"/>
  <c r="R66" i="4"/>
  <c r="P66" i="4"/>
  <c r="J66" i="4"/>
  <c r="G66" i="4"/>
  <c r="B66" i="4"/>
  <c r="S65" i="4"/>
  <c r="R65" i="4"/>
  <c r="P65" i="4"/>
  <c r="J65" i="4"/>
  <c r="G65" i="4"/>
  <c r="B65" i="4"/>
  <c r="S64" i="4"/>
  <c r="R64" i="4"/>
  <c r="P64" i="4"/>
  <c r="J64" i="4"/>
  <c r="G64" i="4"/>
  <c r="B64" i="4"/>
  <c r="S63" i="4"/>
  <c r="R63" i="4"/>
  <c r="P63" i="4"/>
  <c r="J63" i="4"/>
  <c r="G63" i="4"/>
  <c r="B63" i="4"/>
  <c r="S62" i="4"/>
  <c r="R62" i="4"/>
  <c r="P62" i="4"/>
  <c r="J62" i="4"/>
  <c r="G62" i="4"/>
  <c r="B62" i="4"/>
  <c r="S61" i="4"/>
  <c r="R61" i="4"/>
  <c r="P61" i="4"/>
  <c r="J61" i="4"/>
  <c r="G61" i="4"/>
  <c r="B61" i="4"/>
  <c r="S60" i="4"/>
  <c r="R60" i="4"/>
  <c r="P60" i="4"/>
  <c r="J60" i="4"/>
  <c r="G60" i="4"/>
  <c r="B60" i="4"/>
  <c r="S59" i="4"/>
  <c r="R59" i="4"/>
  <c r="P59" i="4"/>
  <c r="J59" i="4"/>
  <c r="G59" i="4"/>
  <c r="B59" i="4"/>
  <c r="S58" i="4"/>
  <c r="R58" i="4"/>
  <c r="P58" i="4"/>
  <c r="J58" i="4"/>
  <c r="G58" i="4"/>
  <c r="B58" i="4"/>
  <c r="S57" i="4"/>
  <c r="R57" i="4"/>
  <c r="P57" i="4"/>
  <c r="J57" i="4"/>
  <c r="G57" i="4"/>
  <c r="B57" i="4"/>
  <c r="S56" i="4"/>
  <c r="R56" i="4"/>
  <c r="P56" i="4"/>
  <c r="J56" i="4"/>
  <c r="G56" i="4"/>
  <c r="B56" i="4"/>
  <c r="S55" i="4"/>
  <c r="R55" i="4"/>
  <c r="P55" i="4"/>
  <c r="J55" i="4"/>
  <c r="G55" i="4"/>
  <c r="B55" i="4"/>
  <c r="S54" i="4"/>
  <c r="R54" i="4"/>
  <c r="P54" i="4"/>
  <c r="J54" i="4"/>
  <c r="G54" i="4"/>
  <c r="B54" i="4"/>
  <c r="S53" i="4"/>
  <c r="R53" i="4"/>
  <c r="P53" i="4"/>
  <c r="J53" i="4"/>
  <c r="G53" i="4"/>
  <c r="B53" i="4"/>
  <c r="S52" i="4"/>
  <c r="R52" i="4"/>
  <c r="P52" i="4"/>
  <c r="J52" i="4"/>
  <c r="G52" i="4"/>
  <c r="B52" i="4"/>
  <c r="S51" i="4"/>
  <c r="R51" i="4"/>
  <c r="P51" i="4"/>
  <c r="J51" i="4"/>
  <c r="G51" i="4"/>
  <c r="B51" i="4"/>
  <c r="S50" i="4"/>
  <c r="R50" i="4"/>
  <c r="P50" i="4"/>
  <c r="J50" i="4"/>
  <c r="G50" i="4"/>
  <c r="B50" i="4"/>
  <c r="S49" i="4"/>
  <c r="R49" i="4"/>
  <c r="P49" i="4"/>
  <c r="J49" i="4"/>
  <c r="G49" i="4"/>
  <c r="B49" i="4"/>
  <c r="S48" i="4"/>
  <c r="R48" i="4"/>
  <c r="P48" i="4"/>
  <c r="J48" i="4"/>
  <c r="G48" i="4"/>
  <c r="B48" i="4"/>
  <c r="S47" i="4"/>
  <c r="R47" i="4"/>
  <c r="P47" i="4"/>
  <c r="J47" i="4"/>
  <c r="G47" i="4"/>
  <c r="B47" i="4"/>
  <c r="S46" i="4"/>
  <c r="R46" i="4"/>
  <c r="P46" i="4"/>
  <c r="J46" i="4"/>
  <c r="G46" i="4"/>
  <c r="B46" i="4"/>
  <c r="S45" i="4"/>
  <c r="R45" i="4"/>
  <c r="P45" i="4"/>
  <c r="J45" i="4"/>
  <c r="G45" i="4"/>
  <c r="B45" i="4"/>
  <c r="S44" i="4"/>
  <c r="R44" i="4"/>
  <c r="P44" i="4"/>
  <c r="J44" i="4"/>
  <c r="G44" i="4"/>
  <c r="B44" i="4"/>
  <c r="S43" i="4"/>
  <c r="R43" i="4"/>
  <c r="P43" i="4"/>
  <c r="J43" i="4"/>
  <c r="G43" i="4"/>
  <c r="B43" i="4"/>
  <c r="S42" i="4"/>
  <c r="R42" i="4"/>
  <c r="P42" i="4"/>
  <c r="J42" i="4"/>
  <c r="G42" i="4"/>
  <c r="B42" i="4"/>
  <c r="S41" i="4"/>
  <c r="R41" i="4"/>
  <c r="P41" i="4"/>
  <c r="J41" i="4"/>
  <c r="G41" i="4"/>
  <c r="B41" i="4"/>
  <c r="S40" i="4"/>
  <c r="R40" i="4"/>
  <c r="P40" i="4"/>
  <c r="J40" i="4"/>
  <c r="G40" i="4"/>
  <c r="B40" i="4"/>
  <c r="S39" i="4"/>
  <c r="R39" i="4"/>
  <c r="P39" i="4"/>
  <c r="J39" i="4"/>
  <c r="G39" i="4"/>
  <c r="B39" i="4"/>
  <c r="S38" i="4"/>
  <c r="R38" i="4"/>
  <c r="P38" i="4"/>
  <c r="J38" i="4"/>
  <c r="G38" i="4"/>
  <c r="B38" i="4"/>
  <c r="S37" i="4"/>
  <c r="R37" i="4"/>
  <c r="P37" i="4"/>
  <c r="J37" i="4"/>
  <c r="G37" i="4"/>
  <c r="B37" i="4"/>
  <c r="S105" i="4"/>
  <c r="R105" i="4"/>
  <c r="P105" i="4"/>
  <c r="J105" i="4"/>
  <c r="G105" i="4"/>
  <c r="B105" i="4"/>
  <c r="S104" i="4"/>
  <c r="R104" i="4"/>
  <c r="P104" i="4"/>
  <c r="J104" i="4"/>
  <c r="G104" i="4"/>
  <c r="B104" i="4"/>
  <c r="S103" i="4"/>
  <c r="R103" i="4"/>
  <c r="P103" i="4"/>
  <c r="J103" i="4"/>
  <c r="G103" i="4"/>
  <c r="B103" i="4"/>
  <c r="S102" i="4"/>
  <c r="R102" i="4"/>
  <c r="P102" i="4"/>
  <c r="J102" i="4"/>
  <c r="G102" i="4"/>
  <c r="B102" i="4"/>
  <c r="S101" i="4"/>
  <c r="R101" i="4"/>
  <c r="P101" i="4"/>
  <c r="J101" i="4"/>
  <c r="G101" i="4"/>
  <c r="B101" i="4"/>
  <c r="S100" i="4"/>
  <c r="R100" i="4"/>
  <c r="P100" i="4"/>
  <c r="J100" i="4"/>
  <c r="G100" i="4"/>
  <c r="B100" i="4"/>
  <c r="S99" i="4"/>
  <c r="R99" i="4"/>
  <c r="P99" i="4"/>
  <c r="J99" i="4"/>
  <c r="G99" i="4"/>
  <c r="B99" i="4"/>
  <c r="S98" i="4"/>
  <c r="R98" i="4"/>
  <c r="P98" i="4"/>
  <c r="J98" i="4"/>
  <c r="G98" i="4"/>
  <c r="B98" i="4"/>
  <c r="S97" i="4"/>
  <c r="R97" i="4"/>
  <c r="P97" i="4"/>
  <c r="J97" i="4"/>
  <c r="G97" i="4"/>
  <c r="B97" i="4"/>
  <c r="S96" i="4"/>
  <c r="R96" i="4"/>
  <c r="P96" i="4"/>
  <c r="J96" i="4"/>
  <c r="G96" i="4"/>
  <c r="B96" i="4"/>
  <c r="S95" i="4"/>
  <c r="R95" i="4"/>
  <c r="P95" i="4"/>
  <c r="J95" i="4"/>
  <c r="G95" i="4"/>
  <c r="B95" i="4"/>
  <c r="S94" i="4"/>
  <c r="R94" i="4"/>
  <c r="P94" i="4"/>
  <c r="J94" i="4"/>
  <c r="G94" i="4"/>
  <c r="B94" i="4"/>
  <c r="S93" i="4"/>
  <c r="R93" i="4"/>
  <c r="P93" i="4"/>
  <c r="J93" i="4"/>
  <c r="G93" i="4"/>
  <c r="B93" i="4"/>
  <c r="S92" i="4"/>
  <c r="R92" i="4"/>
  <c r="P92" i="4"/>
  <c r="J92" i="4"/>
  <c r="G92" i="4"/>
  <c r="B92" i="4"/>
  <c r="S91" i="4"/>
  <c r="R91" i="4"/>
  <c r="P91" i="4"/>
  <c r="J91" i="4"/>
  <c r="G91" i="4"/>
  <c r="B91" i="4"/>
  <c r="S90" i="4"/>
  <c r="R90" i="4"/>
  <c r="P90" i="4"/>
  <c r="J90" i="4"/>
  <c r="G90" i="4"/>
  <c r="B90" i="4"/>
  <c r="S89" i="4"/>
  <c r="R89" i="4"/>
  <c r="P89" i="4"/>
  <c r="J89" i="4"/>
  <c r="G89" i="4"/>
  <c r="B89" i="4"/>
  <c r="S88" i="4"/>
  <c r="R88" i="4"/>
  <c r="P88" i="4"/>
  <c r="J88" i="4"/>
  <c r="G88" i="4"/>
  <c r="B88" i="4"/>
  <c r="S87" i="4"/>
  <c r="R87" i="4"/>
  <c r="P87" i="4"/>
  <c r="J87" i="4"/>
  <c r="G87" i="4"/>
  <c r="B87" i="4"/>
  <c r="S86" i="4"/>
  <c r="R86" i="4"/>
  <c r="P86" i="4"/>
  <c r="J86" i="4"/>
  <c r="G86" i="4"/>
  <c r="B86" i="4"/>
  <c r="S85" i="4"/>
  <c r="R85" i="4"/>
  <c r="P85" i="4"/>
  <c r="J85" i="4"/>
  <c r="G85" i="4"/>
  <c r="B85" i="4"/>
  <c r="S84" i="4"/>
  <c r="R84" i="4"/>
  <c r="P84" i="4"/>
  <c r="J84" i="4"/>
  <c r="G84" i="4"/>
  <c r="B84" i="4"/>
  <c r="S83" i="4"/>
  <c r="R83" i="4"/>
  <c r="P83" i="4"/>
  <c r="J83" i="4"/>
  <c r="G83" i="4"/>
  <c r="B83" i="4"/>
  <c r="F7" i="23"/>
  <c r="F8" i="23"/>
  <c r="F9" i="23"/>
  <c r="F10" i="23"/>
  <c r="F11" i="23"/>
  <c r="F12" i="23"/>
  <c r="F13" i="23"/>
  <c r="F14" i="23"/>
  <c r="F15" i="23"/>
  <c r="F16" i="23"/>
  <c r="F17" i="23"/>
  <c r="F18" i="23"/>
  <c r="F19" i="23"/>
  <c r="F20" i="23"/>
  <c r="F21" i="23"/>
  <c r="F22" i="23"/>
  <c r="F23" i="23"/>
  <c r="F24" i="23"/>
  <c r="F25" i="23"/>
  <c r="F26" i="23"/>
  <c r="F27" i="23"/>
  <c r="F28" i="23"/>
  <c r="F29" i="23"/>
  <c r="F30" i="23"/>
  <c r="F31" i="23"/>
  <c r="F32" i="23"/>
  <c r="F33" i="23"/>
  <c r="F34" i="23"/>
  <c r="F35" i="23"/>
  <c r="F36" i="23"/>
  <c r="F6" i="23"/>
  <c r="B36" i="23"/>
  <c r="B35" i="23"/>
  <c r="B34" i="23"/>
  <c r="B33" i="23"/>
  <c r="B32" i="23"/>
  <c r="B31" i="23"/>
  <c r="B30" i="23"/>
  <c r="B29" i="23"/>
  <c r="B28" i="23"/>
  <c r="B27" i="23"/>
  <c r="B26" i="23"/>
  <c r="B25" i="23"/>
  <c r="B24" i="23"/>
  <c r="B23" i="23"/>
  <c r="B22" i="23"/>
  <c r="B21" i="23"/>
  <c r="B20" i="23"/>
  <c r="B19" i="23"/>
  <c r="B18" i="23"/>
  <c r="B17" i="23"/>
  <c r="B16" i="23"/>
  <c r="B15" i="23"/>
  <c r="B14" i="23"/>
  <c r="B13" i="23"/>
  <c r="B12" i="23"/>
  <c r="B11" i="23"/>
  <c r="B10" i="23"/>
  <c r="B9" i="23"/>
  <c r="B8" i="23"/>
  <c r="B7" i="23"/>
  <c r="B6" i="23"/>
  <c r="H6" i="5"/>
  <c r="F7" i="16"/>
  <c r="B7" i="15" a="1"/>
  <c r="B9" i="15" s="1"/>
  <c r="B6" i="5"/>
  <c r="E107" i="4"/>
  <c r="E107" i="19"/>
  <c r="H107" i="19"/>
  <c r="E107" i="20"/>
  <c r="H107" i="20"/>
  <c r="A7" i="2"/>
  <c r="J7" i="16"/>
  <c r="E9" i="1"/>
  <c r="E10" i="1"/>
  <c r="E11" i="1"/>
  <c r="E12" i="1"/>
  <c r="E8"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S7" i="21"/>
  <c r="S7" i="19"/>
  <c r="S77" i="20"/>
  <c r="S78" i="20"/>
  <c r="S79" i="20"/>
  <c r="S80" i="20"/>
  <c r="S81" i="20"/>
  <c r="S82" i="20"/>
  <c r="S83" i="20"/>
  <c r="S84" i="20"/>
  <c r="S85" i="20"/>
  <c r="S86" i="20"/>
  <c r="S87" i="20"/>
  <c r="S88" i="20"/>
  <c r="S89" i="20"/>
  <c r="S90" i="20"/>
  <c r="S91" i="20"/>
  <c r="S92" i="20"/>
  <c r="S93" i="20"/>
  <c r="S94" i="20"/>
  <c r="S95" i="20"/>
  <c r="S96" i="20"/>
  <c r="S97" i="20"/>
  <c r="S98" i="20"/>
  <c r="S99" i="20"/>
  <c r="S100" i="20"/>
  <c r="S101" i="20"/>
  <c r="S102" i="20"/>
  <c r="S103" i="20"/>
  <c r="S104" i="20"/>
  <c r="S105" i="20"/>
  <c r="S106" i="20"/>
  <c r="S77" i="19"/>
  <c r="S78" i="19"/>
  <c r="S79" i="19"/>
  <c r="S80" i="19"/>
  <c r="S81" i="19"/>
  <c r="S82" i="19"/>
  <c r="S83" i="19"/>
  <c r="S84" i="19"/>
  <c r="S85" i="19"/>
  <c r="S86" i="19"/>
  <c r="S87" i="19"/>
  <c r="S88" i="19"/>
  <c r="S89" i="19"/>
  <c r="S90" i="19"/>
  <c r="S91" i="19"/>
  <c r="S92" i="19"/>
  <c r="S93" i="19"/>
  <c r="S94" i="19"/>
  <c r="S95" i="19"/>
  <c r="S96" i="19"/>
  <c r="S97" i="19"/>
  <c r="S98" i="19"/>
  <c r="S99" i="19"/>
  <c r="S100" i="19"/>
  <c r="S101" i="19"/>
  <c r="S102" i="19"/>
  <c r="S103" i="19"/>
  <c r="S104" i="19"/>
  <c r="S105" i="19"/>
  <c r="S106" i="19"/>
  <c r="S8" i="21"/>
  <c r="S9" i="21"/>
  <c r="S10" i="21"/>
  <c r="S11" i="21"/>
  <c r="S12" i="21"/>
  <c r="S13" i="21"/>
  <c r="S84" i="21"/>
  <c r="S85" i="21"/>
  <c r="S86" i="21"/>
  <c r="S87" i="21"/>
  <c r="S88" i="21"/>
  <c r="S89" i="21"/>
  <c r="S90" i="21"/>
  <c r="S91" i="21"/>
  <c r="S92" i="21"/>
  <c r="S93" i="21"/>
  <c r="S94" i="21"/>
  <c r="S95" i="21"/>
  <c r="S96" i="21"/>
  <c r="S97" i="21"/>
  <c r="S98" i="21"/>
  <c r="S99" i="21"/>
  <c r="S100" i="21"/>
  <c r="S101" i="21"/>
  <c r="S102" i="21"/>
  <c r="S103" i="21"/>
  <c r="S104" i="21"/>
  <c r="S105" i="21"/>
  <c r="S106" i="21"/>
  <c r="S8" i="22"/>
  <c r="S105" i="22"/>
  <c r="S106" i="22"/>
  <c r="S9" i="4"/>
  <c r="S10" i="4"/>
  <c r="S11" i="4"/>
  <c r="S12" i="4"/>
  <c r="S13" i="4"/>
  <c r="S14" i="4"/>
  <c r="S15" i="4"/>
  <c r="S16" i="4"/>
  <c r="S17" i="4"/>
  <c r="S18" i="4"/>
  <c r="S19" i="4"/>
  <c r="S20" i="4"/>
  <c r="S21" i="4"/>
  <c r="S22" i="4"/>
  <c r="S23" i="4"/>
  <c r="S24" i="4"/>
  <c r="S25" i="4"/>
  <c r="S26" i="4"/>
  <c r="S27" i="4"/>
  <c r="S28" i="4"/>
  <c r="S29" i="4"/>
  <c r="S30" i="4"/>
  <c r="S31" i="4"/>
  <c r="S32" i="4"/>
  <c r="S33" i="4"/>
  <c r="S34" i="4"/>
  <c r="S35" i="4"/>
  <c r="S36" i="4"/>
  <c r="S106" i="4"/>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A8" i="2"/>
  <c r="A9" i="2"/>
  <c r="A10" i="2"/>
  <c r="E14" i="15"/>
  <c r="B10" i="2" s="1"/>
  <c r="A11" i="2"/>
  <c r="E15" i="15"/>
  <c r="B11" i="2" s="1"/>
  <c r="A12" i="2"/>
  <c r="E16" i="15"/>
  <c r="B12" i="2" s="1"/>
  <c r="A13" i="2"/>
  <c r="E17" i="15"/>
  <c r="B13" i="2" s="1"/>
  <c r="A14" i="2"/>
  <c r="E18" i="15"/>
  <c r="B14" i="2" s="1"/>
  <c r="A15" i="2"/>
  <c r="E19" i="15"/>
  <c r="B15" i="2" s="1"/>
  <c r="A16" i="2"/>
  <c r="E20" i="15"/>
  <c r="B16" i="2" s="1"/>
  <c r="A17" i="2"/>
  <c r="E21" i="15"/>
  <c r="B17" i="2" s="1"/>
  <c r="A18" i="2"/>
  <c r="E22" i="15"/>
  <c r="B18" i="2" s="1"/>
  <c r="A19" i="2"/>
  <c r="E23" i="15"/>
  <c r="B19" i="2" s="1"/>
  <c r="A20" i="2"/>
  <c r="E24" i="15"/>
  <c r="B20" i="2" s="1"/>
  <c r="A21" i="2"/>
  <c r="E25" i="15"/>
  <c r="B21" i="2" s="1"/>
  <c r="H107" i="21"/>
  <c r="E107" i="21"/>
  <c r="H107" i="22"/>
  <c r="E107" i="22"/>
  <c r="H107" i="4"/>
  <c r="D11" i="14"/>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P7" i="4"/>
  <c r="S7" i="4" s="1"/>
  <c r="R7" i="4"/>
  <c r="B7" i="4"/>
  <c r="B8" i="4"/>
  <c r="P8" i="4"/>
  <c r="S8" i="4" s="1"/>
  <c r="R8" i="4"/>
  <c r="B9" i="4"/>
  <c r="P9" i="4"/>
  <c r="R9" i="4"/>
  <c r="B10" i="4"/>
  <c r="P10" i="4"/>
  <c r="R10" i="4"/>
  <c r="B7" i="21"/>
  <c r="P7" i="21"/>
  <c r="R7" i="21"/>
  <c r="B8" i="21"/>
  <c r="P8" i="21"/>
  <c r="R8" i="21"/>
  <c r="R9" i="21"/>
  <c r="R10" i="21"/>
  <c r="R11" i="21"/>
  <c r="R12" i="21"/>
  <c r="R13" i="21"/>
  <c r="R84" i="21"/>
  <c r="R85" i="21"/>
  <c r="R86" i="21"/>
  <c r="R87" i="21"/>
  <c r="R88" i="21"/>
  <c r="R89" i="21"/>
  <c r="R90" i="21"/>
  <c r="R91" i="21"/>
  <c r="R92" i="21"/>
  <c r="R93" i="21"/>
  <c r="R94" i="21"/>
  <c r="R95" i="21"/>
  <c r="R96" i="21"/>
  <c r="R97" i="21"/>
  <c r="R98" i="21"/>
  <c r="R99" i="21"/>
  <c r="R100" i="21"/>
  <c r="R101" i="21"/>
  <c r="R102" i="21"/>
  <c r="R103" i="21"/>
  <c r="R104" i="21"/>
  <c r="R105" i="21"/>
  <c r="R106" i="21"/>
  <c r="B9" i="21"/>
  <c r="P9" i="21"/>
  <c r="B10" i="21"/>
  <c r="P10" i="21"/>
  <c r="J8" i="16"/>
  <c r="J9" i="16"/>
  <c r="J10" i="16"/>
  <c r="J11" i="16"/>
  <c r="J12" i="16"/>
  <c r="J13" i="16"/>
  <c r="J14" i="16"/>
  <c r="J15" i="16"/>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P8" i="22"/>
  <c r="P105" i="22"/>
  <c r="P106" i="22"/>
  <c r="R106" i="22"/>
  <c r="J106" i="22"/>
  <c r="G106" i="22"/>
  <c r="B106" i="22"/>
  <c r="R105" i="22"/>
  <c r="J105" i="22"/>
  <c r="G105" i="22"/>
  <c r="B105" i="22"/>
  <c r="B8" i="22"/>
  <c r="R8" i="22"/>
  <c r="J8" i="22"/>
  <c r="G8" i="22"/>
  <c r="B7" i="22"/>
  <c r="P7" i="22"/>
  <c r="R7" i="22"/>
  <c r="J7" i="22"/>
  <c r="G7" i="22"/>
  <c r="P106" i="21"/>
  <c r="J106" i="21"/>
  <c r="G106" i="21"/>
  <c r="B106" i="21"/>
  <c r="P105" i="21"/>
  <c r="J105" i="21"/>
  <c r="G105" i="21"/>
  <c r="B105" i="21"/>
  <c r="P104" i="21"/>
  <c r="J104" i="21"/>
  <c r="G104" i="21"/>
  <c r="B104" i="21"/>
  <c r="P103" i="21"/>
  <c r="J103" i="21"/>
  <c r="G103" i="21"/>
  <c r="B103" i="21"/>
  <c r="P102" i="21"/>
  <c r="J102" i="21"/>
  <c r="G102" i="21"/>
  <c r="B102" i="21"/>
  <c r="P101" i="21"/>
  <c r="J101" i="21"/>
  <c r="G101" i="21"/>
  <c r="B101" i="21"/>
  <c r="P100" i="21"/>
  <c r="J100" i="21"/>
  <c r="G100" i="21"/>
  <c r="B100" i="21"/>
  <c r="P99" i="21"/>
  <c r="J99" i="21"/>
  <c r="G99" i="21"/>
  <c r="B99" i="21"/>
  <c r="P98" i="21"/>
  <c r="J98" i="21"/>
  <c r="G98" i="21"/>
  <c r="B98" i="21"/>
  <c r="P97" i="21"/>
  <c r="J97" i="21"/>
  <c r="G97" i="21"/>
  <c r="B97" i="21"/>
  <c r="P96" i="21"/>
  <c r="J96" i="21"/>
  <c r="G96" i="21"/>
  <c r="B96" i="21"/>
  <c r="P95" i="21"/>
  <c r="J95" i="21"/>
  <c r="G95" i="21"/>
  <c r="B95" i="21"/>
  <c r="P94" i="21"/>
  <c r="J94" i="21"/>
  <c r="G94" i="21"/>
  <c r="B94" i="21"/>
  <c r="P93" i="21"/>
  <c r="J93" i="21"/>
  <c r="G93" i="21"/>
  <c r="B93" i="21"/>
  <c r="P92" i="21"/>
  <c r="J92" i="21"/>
  <c r="G92" i="21"/>
  <c r="B92" i="21"/>
  <c r="P91" i="21"/>
  <c r="J91" i="21"/>
  <c r="G91" i="21"/>
  <c r="B91" i="21"/>
  <c r="P90" i="21"/>
  <c r="J90" i="21"/>
  <c r="G90" i="21"/>
  <c r="B90" i="21"/>
  <c r="P89" i="21"/>
  <c r="J89" i="21"/>
  <c r="G89" i="21"/>
  <c r="B89" i="21"/>
  <c r="P88" i="21"/>
  <c r="J88" i="21"/>
  <c r="G88" i="21"/>
  <c r="B88" i="21"/>
  <c r="P87" i="21"/>
  <c r="J87" i="21"/>
  <c r="G87" i="21"/>
  <c r="B87" i="21"/>
  <c r="P86" i="21"/>
  <c r="J86" i="21"/>
  <c r="G86" i="21"/>
  <c r="B86" i="21"/>
  <c r="P85" i="21"/>
  <c r="J85" i="21"/>
  <c r="G85" i="21"/>
  <c r="B85" i="21"/>
  <c r="P84" i="21"/>
  <c r="J84" i="21"/>
  <c r="G84" i="21"/>
  <c r="B84" i="21"/>
  <c r="P13" i="21"/>
  <c r="J13" i="21"/>
  <c r="G13" i="21"/>
  <c r="B13" i="21"/>
  <c r="P12" i="21"/>
  <c r="J12" i="21"/>
  <c r="G12" i="21"/>
  <c r="B12" i="21"/>
  <c r="P11" i="21"/>
  <c r="J11" i="21"/>
  <c r="G11" i="21"/>
  <c r="B11" i="21"/>
  <c r="J10" i="21"/>
  <c r="G10" i="21"/>
  <c r="J9" i="21"/>
  <c r="G9" i="21"/>
  <c r="J8" i="21"/>
  <c r="G8" i="21"/>
  <c r="J7" i="21"/>
  <c r="G7" i="21"/>
  <c r="P77" i="20"/>
  <c r="P78" i="20"/>
  <c r="P79" i="20"/>
  <c r="P80" i="20"/>
  <c r="P81" i="20"/>
  <c r="P82" i="20"/>
  <c r="P83" i="20"/>
  <c r="P84" i="20"/>
  <c r="P85" i="20"/>
  <c r="P86" i="20"/>
  <c r="P87" i="20"/>
  <c r="P88" i="20"/>
  <c r="P89" i="20"/>
  <c r="P90" i="20"/>
  <c r="P91" i="20"/>
  <c r="P92" i="20"/>
  <c r="P93" i="20"/>
  <c r="P94" i="20"/>
  <c r="P95" i="20"/>
  <c r="P96" i="20"/>
  <c r="P97" i="20"/>
  <c r="P98" i="20"/>
  <c r="P99" i="20"/>
  <c r="P100" i="20"/>
  <c r="P101" i="20"/>
  <c r="P102" i="20"/>
  <c r="P103" i="20"/>
  <c r="P104" i="20"/>
  <c r="P105" i="20"/>
  <c r="P106" i="20"/>
  <c r="P7" i="20"/>
  <c r="R106" i="20"/>
  <c r="J106" i="20"/>
  <c r="G106" i="20"/>
  <c r="B106" i="20"/>
  <c r="R105" i="20"/>
  <c r="J105" i="20"/>
  <c r="G105" i="20"/>
  <c r="B105" i="20"/>
  <c r="R104" i="20"/>
  <c r="J104" i="20"/>
  <c r="G104" i="20"/>
  <c r="B104" i="20"/>
  <c r="R103" i="20"/>
  <c r="J103" i="20"/>
  <c r="G103" i="20"/>
  <c r="B103" i="20"/>
  <c r="R102" i="20"/>
  <c r="J102" i="20"/>
  <c r="G102" i="20"/>
  <c r="B102" i="20"/>
  <c r="R101" i="20"/>
  <c r="J101" i="20"/>
  <c r="G101" i="20"/>
  <c r="B101" i="20"/>
  <c r="R100" i="20"/>
  <c r="J100" i="20"/>
  <c r="G100" i="20"/>
  <c r="B100" i="20"/>
  <c r="R99" i="20"/>
  <c r="J99" i="20"/>
  <c r="G99" i="20"/>
  <c r="B99" i="20"/>
  <c r="R98" i="20"/>
  <c r="J98" i="20"/>
  <c r="G98" i="20"/>
  <c r="B98" i="20"/>
  <c r="R97" i="20"/>
  <c r="J97" i="20"/>
  <c r="G97" i="20"/>
  <c r="B97" i="20"/>
  <c r="R96" i="20"/>
  <c r="J96" i="20"/>
  <c r="G96" i="20"/>
  <c r="B96" i="20"/>
  <c r="R95" i="20"/>
  <c r="J95" i="20"/>
  <c r="G95" i="20"/>
  <c r="B95" i="20"/>
  <c r="R94" i="20"/>
  <c r="J94" i="20"/>
  <c r="G94" i="20"/>
  <c r="B94" i="20"/>
  <c r="R93" i="20"/>
  <c r="J93" i="20"/>
  <c r="G93" i="20"/>
  <c r="B93" i="20"/>
  <c r="R92" i="20"/>
  <c r="J92" i="20"/>
  <c r="G92" i="20"/>
  <c r="B92" i="20"/>
  <c r="R91" i="20"/>
  <c r="J91" i="20"/>
  <c r="G91" i="20"/>
  <c r="B91" i="20"/>
  <c r="R90" i="20"/>
  <c r="J90" i="20"/>
  <c r="G90" i="20"/>
  <c r="B90" i="20"/>
  <c r="R89" i="20"/>
  <c r="J89" i="20"/>
  <c r="G89" i="20"/>
  <c r="B89" i="20"/>
  <c r="R88" i="20"/>
  <c r="J88" i="20"/>
  <c r="G88" i="20"/>
  <c r="B88" i="20"/>
  <c r="R87" i="20"/>
  <c r="J87" i="20"/>
  <c r="G87" i="20"/>
  <c r="B87" i="20"/>
  <c r="R86" i="20"/>
  <c r="J86" i="20"/>
  <c r="G86" i="20"/>
  <c r="B86" i="20"/>
  <c r="R85" i="20"/>
  <c r="J85" i="20"/>
  <c r="G85" i="20"/>
  <c r="B85" i="20"/>
  <c r="R84" i="20"/>
  <c r="J84" i="20"/>
  <c r="G84" i="20"/>
  <c r="B84" i="20"/>
  <c r="R83" i="20"/>
  <c r="J83" i="20"/>
  <c r="G83" i="20"/>
  <c r="B83" i="20"/>
  <c r="R82" i="20"/>
  <c r="J82" i="20"/>
  <c r="G82" i="20"/>
  <c r="B82" i="20"/>
  <c r="R81" i="20"/>
  <c r="J81" i="20"/>
  <c r="G81" i="20"/>
  <c r="B81" i="20"/>
  <c r="R80" i="20"/>
  <c r="J80" i="20"/>
  <c r="G80" i="20"/>
  <c r="B80" i="20"/>
  <c r="R79" i="20"/>
  <c r="J79" i="20"/>
  <c r="G79" i="20"/>
  <c r="B79" i="20"/>
  <c r="B78" i="20"/>
  <c r="R78" i="20"/>
  <c r="J78" i="20"/>
  <c r="G78" i="20"/>
  <c r="R77" i="20"/>
  <c r="J77" i="20"/>
  <c r="G77" i="20"/>
  <c r="B77" i="20"/>
  <c r="R7" i="20"/>
  <c r="J7" i="20"/>
  <c r="P77" i="19"/>
  <c r="P78" i="19"/>
  <c r="P79" i="19"/>
  <c r="P80" i="19"/>
  <c r="P81" i="19"/>
  <c r="P82" i="19"/>
  <c r="P83" i="19"/>
  <c r="P84" i="19"/>
  <c r="P85" i="19"/>
  <c r="P86" i="19"/>
  <c r="P87" i="19"/>
  <c r="P88" i="19"/>
  <c r="P89" i="19"/>
  <c r="P90" i="19"/>
  <c r="P91" i="19"/>
  <c r="P92" i="19"/>
  <c r="P93" i="19"/>
  <c r="P94" i="19"/>
  <c r="P95" i="19"/>
  <c r="P96" i="19"/>
  <c r="P97" i="19"/>
  <c r="P98" i="19"/>
  <c r="P99" i="19"/>
  <c r="P100" i="19"/>
  <c r="P101" i="19"/>
  <c r="P102" i="19"/>
  <c r="P103" i="19"/>
  <c r="P104" i="19"/>
  <c r="P105" i="19"/>
  <c r="P106" i="19"/>
  <c r="P7" i="19"/>
  <c r="R106" i="19"/>
  <c r="J106" i="19"/>
  <c r="G106" i="19"/>
  <c r="B106" i="19"/>
  <c r="R105" i="19"/>
  <c r="J105" i="19"/>
  <c r="G105" i="19"/>
  <c r="B105" i="19"/>
  <c r="R104" i="19"/>
  <c r="J104" i="19"/>
  <c r="G104" i="19"/>
  <c r="B104" i="19"/>
  <c r="R103" i="19"/>
  <c r="J103" i="19"/>
  <c r="G103" i="19"/>
  <c r="B103" i="19"/>
  <c r="R102" i="19"/>
  <c r="J102" i="19"/>
  <c r="G102" i="19"/>
  <c r="B102" i="19"/>
  <c r="R101" i="19"/>
  <c r="J101" i="19"/>
  <c r="G101" i="19"/>
  <c r="B101" i="19"/>
  <c r="R100" i="19"/>
  <c r="J100" i="19"/>
  <c r="G100" i="19"/>
  <c r="B100" i="19"/>
  <c r="R99" i="19"/>
  <c r="J99" i="19"/>
  <c r="G99" i="19"/>
  <c r="B99" i="19"/>
  <c r="R98" i="19"/>
  <c r="J98" i="19"/>
  <c r="G98" i="19"/>
  <c r="B98" i="19"/>
  <c r="R97" i="19"/>
  <c r="J97" i="19"/>
  <c r="G97" i="19"/>
  <c r="B97" i="19"/>
  <c r="R96" i="19"/>
  <c r="J96" i="19"/>
  <c r="G96" i="19"/>
  <c r="B96" i="19"/>
  <c r="R95" i="19"/>
  <c r="J95" i="19"/>
  <c r="G95" i="19"/>
  <c r="B95" i="19"/>
  <c r="R94" i="19"/>
  <c r="J94" i="19"/>
  <c r="G94" i="19"/>
  <c r="B94" i="19"/>
  <c r="R93" i="19"/>
  <c r="J93" i="19"/>
  <c r="G93" i="19"/>
  <c r="B93" i="19"/>
  <c r="R92" i="19"/>
  <c r="J92" i="19"/>
  <c r="G92" i="19"/>
  <c r="B92" i="19"/>
  <c r="R91" i="19"/>
  <c r="J91" i="19"/>
  <c r="G91" i="19"/>
  <c r="B91" i="19"/>
  <c r="R90" i="19"/>
  <c r="J90" i="19"/>
  <c r="G90" i="19"/>
  <c r="B90" i="19"/>
  <c r="R89" i="19"/>
  <c r="J89" i="19"/>
  <c r="G89" i="19"/>
  <c r="B89" i="19"/>
  <c r="R88" i="19"/>
  <c r="J88" i="19"/>
  <c r="G88" i="19"/>
  <c r="B88" i="19"/>
  <c r="R87" i="19"/>
  <c r="J87" i="19"/>
  <c r="G87" i="19"/>
  <c r="B87" i="19"/>
  <c r="R86" i="19"/>
  <c r="J86" i="19"/>
  <c r="G86" i="19"/>
  <c r="B86" i="19"/>
  <c r="R85" i="19"/>
  <c r="J85" i="19"/>
  <c r="G85" i="19"/>
  <c r="B85" i="19"/>
  <c r="R84" i="19"/>
  <c r="J84" i="19"/>
  <c r="G84" i="19"/>
  <c r="B84" i="19"/>
  <c r="R83" i="19"/>
  <c r="J83" i="19"/>
  <c r="G83" i="19"/>
  <c r="B83" i="19"/>
  <c r="R82" i="19"/>
  <c r="J82" i="19"/>
  <c r="G82" i="19"/>
  <c r="B82" i="19"/>
  <c r="R81" i="19"/>
  <c r="J81" i="19"/>
  <c r="G81" i="19"/>
  <c r="B81" i="19"/>
  <c r="R80" i="19"/>
  <c r="J80" i="19"/>
  <c r="G80" i="19"/>
  <c r="B80" i="19"/>
  <c r="R79" i="19"/>
  <c r="J79" i="19"/>
  <c r="G79" i="19"/>
  <c r="B79" i="19"/>
  <c r="B78" i="19"/>
  <c r="R78" i="19"/>
  <c r="J78" i="19"/>
  <c r="G78" i="19"/>
  <c r="R77" i="19"/>
  <c r="J77" i="19"/>
  <c r="G77" i="19"/>
  <c r="B77" i="19"/>
  <c r="R7" i="19"/>
  <c r="J7" i="19"/>
  <c r="G7" i="19"/>
  <c r="R11" i="4"/>
  <c r="R12" i="4"/>
  <c r="R13" i="4"/>
  <c r="R14" i="4"/>
  <c r="R15" i="4"/>
  <c r="R16" i="4"/>
  <c r="R17" i="4"/>
  <c r="R18" i="4"/>
  <c r="R19" i="4"/>
  <c r="R20" i="4"/>
  <c r="R21" i="4"/>
  <c r="R22" i="4"/>
  <c r="R23" i="4"/>
  <c r="R24" i="4"/>
  <c r="R25" i="4"/>
  <c r="R26" i="4"/>
  <c r="R27" i="4"/>
  <c r="R28" i="4"/>
  <c r="R29" i="4"/>
  <c r="R30" i="4"/>
  <c r="R31" i="4"/>
  <c r="R32" i="4"/>
  <c r="R33" i="4"/>
  <c r="R34" i="4"/>
  <c r="R35" i="4"/>
  <c r="R36" i="4"/>
  <c r="R106" i="4"/>
  <c r="P11" i="4"/>
  <c r="P12" i="4"/>
  <c r="P13" i="4"/>
  <c r="P14" i="4"/>
  <c r="P15" i="4"/>
  <c r="P16" i="4"/>
  <c r="P17" i="4"/>
  <c r="P18" i="4"/>
  <c r="P19" i="4"/>
  <c r="P20" i="4"/>
  <c r="P21" i="4"/>
  <c r="P22" i="4"/>
  <c r="P23" i="4"/>
  <c r="P24" i="4"/>
  <c r="P25" i="4"/>
  <c r="P26" i="4"/>
  <c r="P27" i="4"/>
  <c r="P28" i="4"/>
  <c r="P29" i="4"/>
  <c r="P30" i="4"/>
  <c r="P31" i="4"/>
  <c r="P32" i="4"/>
  <c r="P33" i="4"/>
  <c r="P34" i="4"/>
  <c r="P35" i="4"/>
  <c r="P36" i="4"/>
  <c r="P106" i="4"/>
  <c r="J106" i="4"/>
  <c r="J36" i="4"/>
  <c r="J35" i="4"/>
  <c r="J34" i="4"/>
  <c r="J33" i="4"/>
  <c r="J32" i="4"/>
  <c r="J31" i="4"/>
  <c r="J30" i="4"/>
  <c r="J29" i="4"/>
  <c r="J28" i="4"/>
  <c r="J27" i="4"/>
  <c r="J26" i="4"/>
  <c r="J25" i="4"/>
  <c r="J24" i="4"/>
  <c r="J23" i="4"/>
  <c r="J22" i="4"/>
  <c r="J21" i="4"/>
  <c r="J20" i="4"/>
  <c r="J19" i="4"/>
  <c r="J18" i="4"/>
  <c r="J17" i="4"/>
  <c r="J16" i="4"/>
  <c r="J15" i="4"/>
  <c r="J14" i="4"/>
  <c r="J13" i="4"/>
  <c r="J12" i="4"/>
  <c r="J11" i="4"/>
  <c r="J10" i="4"/>
  <c r="J9" i="4"/>
  <c r="J8" i="4"/>
  <c r="J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106" i="4"/>
  <c r="G7" i="4"/>
  <c r="K10" i="12"/>
  <c r="K11" i="12"/>
  <c r="K12" i="12"/>
  <c r="K13" i="12"/>
  <c r="K14" i="12"/>
  <c r="K15" i="12"/>
  <c r="K16" i="12"/>
  <c r="K17" i="12"/>
  <c r="K18" i="12"/>
  <c r="K19" i="12"/>
  <c r="K20" i="12"/>
  <c r="K21" i="12"/>
  <c r="C13" i="14"/>
  <c r="K9" i="12"/>
  <c r="C12" i="15"/>
  <c r="C13" i="15"/>
  <c r="E13" i="15" s="1"/>
  <c r="C14" i="15"/>
  <c r="C15" i="15"/>
  <c r="C16" i="15"/>
  <c r="C17" i="15"/>
  <c r="C18" i="15"/>
  <c r="C19" i="15"/>
  <c r="C20" i="15"/>
  <c r="C21" i="15"/>
  <c r="C22" i="15"/>
  <c r="C23" i="15"/>
  <c r="C24" i="15"/>
  <c r="C25" i="15"/>
  <c r="C11" i="15"/>
  <c r="D11" i="15"/>
  <c r="C1" i="2"/>
  <c r="D12" i="15"/>
  <c r="E12" i="15" s="1"/>
  <c r="B8" i="2" s="1"/>
  <c r="D13" i="15"/>
  <c r="D14" i="15"/>
  <c r="B11" i="4"/>
  <c r="B8" i="1"/>
  <c r="J8" i="1" s="1"/>
  <c r="K8" i="1" s="1"/>
  <c r="G8" i="1"/>
  <c r="H8" i="1" s="1"/>
  <c r="M8" i="1"/>
  <c r="N8" i="1" s="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P8" i="1"/>
  <c r="Q8" i="1"/>
  <c r="B9" i="1"/>
  <c r="G9" i="1"/>
  <c r="H9" i="1"/>
  <c r="J9"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M9" i="1"/>
  <c r="P9"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D15" i="15"/>
  <c r="D16" i="15"/>
  <c r="D17" i="15"/>
  <c r="D18" i="15"/>
  <c r="D19" i="15"/>
  <c r="D20" i="15"/>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7" i="8"/>
  <c r="B6" i="8"/>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8" i="1"/>
  <c r="B13" i="1"/>
  <c r="G13" i="1"/>
  <c r="H13" i="1"/>
  <c r="J13" i="1"/>
  <c r="M13" i="1"/>
  <c r="P13" i="1"/>
  <c r="B10" i="1"/>
  <c r="G10" i="1"/>
  <c r="H10" i="1"/>
  <c r="H11" i="1"/>
  <c r="H12"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J10" i="1"/>
  <c r="M10" i="1"/>
  <c r="P10" i="1"/>
  <c r="B11" i="1"/>
  <c r="G11" i="1"/>
  <c r="J11" i="1"/>
  <c r="M11" i="1"/>
  <c r="P11" i="1"/>
  <c r="B12" i="1"/>
  <c r="G12" i="1"/>
  <c r="J12" i="1"/>
  <c r="M12" i="1"/>
  <c r="P12" i="1"/>
  <c r="B14" i="1"/>
  <c r="G14" i="1"/>
  <c r="J14" i="1"/>
  <c r="M14" i="1"/>
  <c r="P14" i="1"/>
  <c r="H82" i="1"/>
  <c r="K82" i="1"/>
  <c r="N82" i="1"/>
  <c r="Q82" i="1"/>
  <c r="H83" i="1"/>
  <c r="K83" i="1"/>
  <c r="N83" i="1"/>
  <c r="Q83" i="1"/>
  <c r="H84" i="1"/>
  <c r="K84" i="1"/>
  <c r="N84" i="1"/>
  <c r="Q84" i="1"/>
  <c r="H85" i="1"/>
  <c r="K85" i="1"/>
  <c r="N85" i="1"/>
  <c r="Q85" i="1"/>
  <c r="H86" i="1"/>
  <c r="K86" i="1"/>
  <c r="N86" i="1"/>
  <c r="Q86" i="1"/>
  <c r="H87" i="1"/>
  <c r="K87" i="1"/>
  <c r="N87" i="1"/>
  <c r="Q87" i="1"/>
  <c r="H88" i="1"/>
  <c r="K88" i="1"/>
  <c r="N88" i="1"/>
  <c r="Q88" i="1"/>
  <c r="H89" i="1"/>
  <c r="K89" i="1"/>
  <c r="N89" i="1"/>
  <c r="Q89" i="1"/>
  <c r="H90" i="1"/>
  <c r="K90" i="1"/>
  <c r="N90" i="1"/>
  <c r="Q90" i="1"/>
  <c r="H91" i="1"/>
  <c r="K91" i="1"/>
  <c r="N91" i="1"/>
  <c r="Q91" i="1"/>
  <c r="H92" i="1"/>
  <c r="K92" i="1"/>
  <c r="N92" i="1"/>
  <c r="Q92" i="1"/>
  <c r="H93" i="1"/>
  <c r="K93" i="1"/>
  <c r="N93" i="1"/>
  <c r="Q93" i="1"/>
  <c r="H94" i="1"/>
  <c r="K94" i="1"/>
  <c r="N94" i="1"/>
  <c r="Q94" i="1"/>
  <c r="H95" i="1"/>
  <c r="K95" i="1"/>
  <c r="N95" i="1"/>
  <c r="Q95" i="1"/>
  <c r="H96" i="1"/>
  <c r="K96" i="1"/>
  <c r="N96" i="1"/>
  <c r="Q96" i="1"/>
  <c r="H97" i="1"/>
  <c r="K97" i="1"/>
  <c r="N97" i="1"/>
  <c r="Q97" i="1"/>
  <c r="H98" i="1"/>
  <c r="K98" i="1"/>
  <c r="N98" i="1"/>
  <c r="Q98" i="1"/>
  <c r="H99" i="1"/>
  <c r="K99" i="1"/>
  <c r="N99" i="1"/>
  <c r="Q99" i="1"/>
  <c r="H100" i="1"/>
  <c r="K100" i="1"/>
  <c r="N100" i="1"/>
  <c r="Q100" i="1"/>
  <c r="H101" i="1"/>
  <c r="K101" i="1"/>
  <c r="N101" i="1"/>
  <c r="Q101" i="1"/>
  <c r="H102" i="1"/>
  <c r="K102" i="1"/>
  <c r="N102" i="1"/>
  <c r="Q102" i="1"/>
  <c r="H103" i="1"/>
  <c r="K103" i="1"/>
  <c r="N103" i="1"/>
  <c r="Q103" i="1"/>
  <c r="H104" i="1"/>
  <c r="K104" i="1"/>
  <c r="N104" i="1"/>
  <c r="Q104" i="1"/>
  <c r="H105" i="1"/>
  <c r="K105" i="1"/>
  <c r="N105" i="1"/>
  <c r="Q105" i="1"/>
  <c r="H106" i="1"/>
  <c r="K106" i="1"/>
  <c r="N106" i="1"/>
  <c r="Q106" i="1"/>
  <c r="H107" i="1"/>
  <c r="K107" i="1"/>
  <c r="N107" i="1"/>
  <c r="Q107" i="1"/>
  <c r="H108" i="1"/>
  <c r="K108" i="1"/>
  <c r="N108" i="1"/>
  <c r="Q108" i="1"/>
  <c r="H109" i="1"/>
  <c r="K109" i="1"/>
  <c r="N109" i="1"/>
  <c r="Q109" i="1"/>
  <c r="B15" i="1"/>
  <c r="G15" i="1"/>
  <c r="J15" i="1"/>
  <c r="M15" i="1"/>
  <c r="P15" i="1"/>
  <c r="B16" i="1"/>
  <c r="G16" i="1"/>
  <c r="J16" i="1"/>
  <c r="M16" i="1"/>
  <c r="P16" i="1"/>
  <c r="B17" i="1"/>
  <c r="G17" i="1"/>
  <c r="J17" i="1"/>
  <c r="M17" i="1"/>
  <c r="P17" i="1"/>
  <c r="B106" i="4"/>
  <c r="B36" i="4"/>
  <c r="B35" i="4"/>
  <c r="B34" i="4"/>
  <c r="B33" i="4"/>
  <c r="B32" i="4"/>
  <c r="B31" i="4"/>
  <c r="B30" i="4"/>
  <c r="B29" i="4"/>
  <c r="B28" i="4"/>
  <c r="B27" i="4"/>
  <c r="B26" i="4"/>
  <c r="B25" i="4"/>
  <c r="B24" i="4"/>
  <c r="B23" i="4"/>
  <c r="B22" i="4"/>
  <c r="B21" i="4"/>
  <c r="B20" i="4"/>
  <c r="B19" i="4"/>
  <c r="B18" i="4"/>
  <c r="B17" i="4"/>
  <c r="B16" i="4"/>
  <c r="B15" i="4"/>
  <c r="B14" i="4"/>
  <c r="B13" i="4"/>
  <c r="B12" i="4"/>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6" i="6"/>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8"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21" i="16"/>
  <c r="B22" i="16"/>
  <c r="B23" i="16"/>
  <c r="B24"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90" i="16"/>
  <c r="B91" i="16"/>
  <c r="B92" i="16"/>
  <c r="B93" i="16"/>
  <c r="B94" i="16"/>
  <c r="B95" i="16"/>
  <c r="B96" i="16"/>
  <c r="B97" i="16"/>
  <c r="B98" i="16"/>
  <c r="B99" i="16"/>
  <c r="B100" i="16"/>
  <c r="B101" i="16"/>
  <c r="B102" i="16"/>
  <c r="B103" i="16"/>
  <c r="B104" i="16"/>
  <c r="B105" i="16"/>
  <c r="B106" i="16"/>
  <c r="B107" i="16"/>
  <c r="B108" i="16"/>
  <c r="B8" i="16"/>
  <c r="B9" i="16"/>
  <c r="B10" i="16"/>
  <c r="B11" i="16"/>
  <c r="B12" i="16"/>
  <c r="B13" i="16"/>
  <c r="B14" i="16"/>
  <c r="B15" i="16"/>
  <c r="B16" i="16"/>
  <c r="B17" i="16"/>
  <c r="B18" i="16"/>
  <c r="B19" i="16"/>
  <c r="B20" i="16"/>
  <c r="B7" i="16"/>
  <c r="C5" i="8"/>
  <c r="G5" i="5"/>
  <c r="F5" i="5"/>
  <c r="F6" i="1"/>
  <c r="I6" i="1"/>
  <c r="L6" i="1"/>
  <c r="O6" i="1"/>
  <c r="H5" i="5"/>
  <c r="I5" i="5" s="1"/>
  <c r="E6" i="2" s="1"/>
  <c r="E21" i="2"/>
  <c r="G15" i="2"/>
  <c r="E13" i="2"/>
  <c r="G14" i="2"/>
  <c r="G10" i="2" l="1"/>
  <c r="S6" i="20"/>
  <c r="E11" i="15"/>
  <c r="B7" i="2" s="1"/>
  <c r="E15" i="2"/>
  <c r="I10" i="2"/>
  <c r="F5" i="23"/>
  <c r="H6" i="2" s="1"/>
  <c r="G18" i="2"/>
  <c r="E17" i="2"/>
  <c r="E12" i="2"/>
  <c r="E20" i="2"/>
  <c r="H18" i="2"/>
  <c r="E14" i="2"/>
  <c r="M6" i="22"/>
  <c r="M6" i="19"/>
  <c r="C9" i="2"/>
  <c r="R6" i="21"/>
  <c r="E9" i="2"/>
  <c r="C11" i="2"/>
  <c r="S6" i="19"/>
  <c r="M6" i="21"/>
  <c r="M6" i="20"/>
  <c r="B7" i="15"/>
  <c r="C8" i="2"/>
  <c r="C12" i="2"/>
  <c r="C16" i="2"/>
  <c r="C20" i="2"/>
  <c r="C13" i="2"/>
  <c r="R6" i="19"/>
  <c r="R6" i="20"/>
  <c r="H10" i="2"/>
  <c r="D6" i="1"/>
  <c r="I16" i="2"/>
  <c r="C15" i="2"/>
  <c r="H19" i="2"/>
  <c r="H11" i="2"/>
  <c r="J6" i="16"/>
  <c r="C6" i="2" s="1"/>
  <c r="F5" i="6"/>
  <c r="G5" i="6" s="1"/>
  <c r="G6" i="2" s="1"/>
  <c r="S6" i="21"/>
  <c r="H7" i="2"/>
  <c r="S7" i="22"/>
  <c r="S6" i="22" s="1"/>
  <c r="R6" i="22"/>
  <c r="D10" i="2"/>
  <c r="D21" i="2"/>
  <c r="D18" i="2"/>
  <c r="K7" i="1"/>
  <c r="Q7" i="1"/>
  <c r="N7" i="1"/>
  <c r="H7" i="1"/>
  <c r="D9" i="2"/>
  <c r="P6" i="19"/>
  <c r="P6" i="20"/>
  <c r="P6" i="21"/>
  <c r="P6" i="22"/>
  <c r="G16" i="2"/>
  <c r="I20" i="2"/>
  <c r="G11" i="2"/>
  <c r="D14" i="2"/>
  <c r="G19" i="2"/>
  <c r="C14" i="2"/>
  <c r="C18" i="2"/>
  <c r="B10" i="15"/>
  <c r="C19" i="2"/>
  <c r="I7" i="2"/>
  <c r="G8" i="2"/>
  <c r="D13" i="2"/>
  <c r="D17" i="2"/>
  <c r="E7" i="1"/>
  <c r="D6" i="2" s="1"/>
  <c r="C21" i="2"/>
  <c r="G9" i="2"/>
  <c r="D12" i="2"/>
  <c r="G17" i="2"/>
  <c r="D20" i="2"/>
  <c r="G5" i="8"/>
  <c r="I6" i="2" s="1"/>
  <c r="C17" i="2"/>
  <c r="B8" i="15"/>
  <c r="I11" i="2"/>
  <c r="I15" i="2"/>
  <c r="I19" i="2"/>
  <c r="I8" i="2"/>
  <c r="E7" i="2"/>
  <c r="G7" i="2"/>
  <c r="I12" i="2"/>
  <c r="B9" i="2"/>
  <c r="E18" i="2"/>
  <c r="H17" i="2"/>
  <c r="H16" i="2"/>
  <c r="E10" i="2"/>
  <c r="H8" i="2"/>
  <c r="C7" i="2"/>
  <c r="D15" i="2"/>
  <c r="E11" i="2"/>
  <c r="G21" i="2"/>
  <c r="I17" i="2"/>
  <c r="I18" i="2"/>
  <c r="D7" i="2"/>
  <c r="H21" i="2"/>
  <c r="H20" i="2"/>
  <c r="H13" i="2"/>
  <c r="H12" i="2"/>
  <c r="H9" i="2"/>
  <c r="F22" i="2"/>
  <c r="K5" i="2" s="1"/>
  <c r="D4" i="14" s="1"/>
  <c r="D11" i="2"/>
  <c r="G20" i="2"/>
  <c r="D8" i="2"/>
  <c r="G13" i="2"/>
  <c r="D16" i="2"/>
  <c r="E19" i="2"/>
  <c r="I14" i="2"/>
  <c r="I9" i="2"/>
  <c r="I13" i="2"/>
  <c r="I21" i="2"/>
  <c r="G12" i="2"/>
  <c r="C10" i="2"/>
  <c r="D19" i="2"/>
  <c r="E16" i="2"/>
  <c r="H15" i="2"/>
  <c r="H14" i="2"/>
  <c r="E8" i="2"/>
  <c r="M6" i="4"/>
  <c r="R6" i="4"/>
  <c r="P6" i="4"/>
  <c r="F9" i="2"/>
  <c r="S6" i="4"/>
  <c r="F14" i="2"/>
  <c r="E5" i="15" l="1"/>
  <c r="F5" i="15" s="1"/>
  <c r="B6" i="2" s="1"/>
  <c r="F10" i="2"/>
  <c r="J10" i="2" s="1"/>
  <c r="F20" i="2"/>
  <c r="J20" i="2" s="1"/>
  <c r="F18" i="2"/>
  <c r="J18" i="2" s="1"/>
  <c r="F11" i="2"/>
  <c r="J11" i="2" s="1"/>
  <c r="F17" i="2"/>
  <c r="J17" i="2" s="1"/>
  <c r="F13" i="2"/>
  <c r="J13" i="2" s="1"/>
  <c r="F16" i="2"/>
  <c r="J16" i="2" s="1"/>
  <c r="F12" i="2"/>
  <c r="J12" i="2" s="1"/>
  <c r="F7" i="2"/>
  <c r="J7" i="2" s="1"/>
  <c r="F19" i="2"/>
  <c r="J19" i="2" s="1"/>
  <c r="F8" i="2"/>
  <c r="J8" i="2" s="1"/>
  <c r="F15" i="2"/>
  <c r="J15" i="2" s="1"/>
  <c r="F21" i="2"/>
  <c r="J21" i="2" s="1"/>
  <c r="F6" i="2"/>
  <c r="J9" i="2"/>
  <c r="J14" i="2"/>
  <c r="K6" i="2" l="1"/>
  <c r="D5" i="14" s="1"/>
  <c r="J6" i="2"/>
  <c r="C5" i="14" s="1"/>
</calcChain>
</file>

<file path=xl/comments1.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Nem lehet</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comments2.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a Short-term blended... esetén</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comments3.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a Short-term blended... esetén</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comments4.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Short-term blended…, Short-term exchanges… és Long-term study... esetén</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comments5.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a Short-term blended... esetén</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sharedStrings.xml><?xml version="1.0" encoding="utf-8"?>
<sst xmlns="http://schemas.openxmlformats.org/spreadsheetml/2006/main" count="736" uniqueCount="493">
  <si>
    <t>All figures in Euro</t>
  </si>
  <si>
    <t> </t>
  </si>
  <si>
    <t>Description</t>
  </si>
  <si>
    <t xml:space="preserve">3. Technical </t>
  </si>
  <si>
    <t xml:space="preserve">4. Administrative </t>
  </si>
  <si>
    <t>AT</t>
  </si>
  <si>
    <t>CZ</t>
  </si>
  <si>
    <t>CY</t>
  </si>
  <si>
    <t>BE</t>
  </si>
  <si>
    <t>DK</t>
  </si>
  <si>
    <t>DE</t>
  </si>
  <si>
    <t>EE</t>
  </si>
  <si>
    <t>ES</t>
  </si>
  <si>
    <t>FR</t>
  </si>
  <si>
    <t>IE</t>
  </si>
  <si>
    <t>IT</t>
  </si>
  <si>
    <t>LT</t>
  </si>
  <si>
    <t>LU</t>
  </si>
  <si>
    <t>HU</t>
  </si>
  <si>
    <t>MT</t>
  </si>
  <si>
    <t>NL</t>
  </si>
  <si>
    <t>PL</t>
  </si>
  <si>
    <t>PT</t>
  </si>
  <si>
    <t>SI</t>
  </si>
  <si>
    <t>SK</t>
  </si>
  <si>
    <t>FI</t>
  </si>
  <si>
    <t>SE</t>
  </si>
  <si>
    <t>IS</t>
  </si>
  <si>
    <t>LI</t>
  </si>
  <si>
    <t>NO</t>
  </si>
  <si>
    <t>BG</t>
  </si>
  <si>
    <t>RO</t>
  </si>
  <si>
    <t>Country</t>
  </si>
  <si>
    <t>Cost per day</t>
  </si>
  <si>
    <t xml:space="preserve">1. Manager </t>
  </si>
  <si>
    <t>Total costs</t>
  </si>
  <si>
    <t xml:space="preserve"> Staff by category</t>
  </si>
  <si>
    <t>Overall total number of working days</t>
  </si>
  <si>
    <t>Manager</t>
  </si>
  <si>
    <t>Technical</t>
  </si>
  <si>
    <t>Administrative</t>
  </si>
  <si>
    <t>GB</t>
  </si>
  <si>
    <t>TR</t>
  </si>
  <si>
    <t>STAFF 
costs ceilings</t>
  </si>
  <si>
    <t>Country 
Code</t>
  </si>
  <si>
    <t>Researcher
Teacher
Trainer</t>
  </si>
  <si>
    <t>EL</t>
  </si>
  <si>
    <t>LV</t>
  </si>
  <si>
    <t>Project Acronym:</t>
  </si>
  <si>
    <t>WORKPLAN AND WORK PACKAGES</t>
  </si>
  <si>
    <t>Project duration</t>
  </si>
  <si>
    <t>HR</t>
  </si>
  <si>
    <t>Belgium</t>
  </si>
  <si>
    <t>Bulgária</t>
  </si>
  <si>
    <t>Dánia</t>
  </si>
  <si>
    <t>Németország</t>
  </si>
  <si>
    <t>Észtország</t>
  </si>
  <si>
    <t>Görögország</t>
  </si>
  <si>
    <t>Spanyolország</t>
  </si>
  <si>
    <t>Írország</t>
  </si>
  <si>
    <t>Olaszország</t>
  </si>
  <si>
    <t>Ciprus</t>
  </si>
  <si>
    <t>Lettország</t>
  </si>
  <si>
    <t>Litvánia</t>
  </si>
  <si>
    <t>Luxembourg</t>
  </si>
  <si>
    <t>Magyarország</t>
  </si>
  <si>
    <t>Hollandia</t>
  </si>
  <si>
    <t>Ausztria</t>
  </si>
  <si>
    <t>Lengyelország</t>
  </si>
  <si>
    <t>Szlovénia</t>
  </si>
  <si>
    <t>Szlovákia</t>
  </si>
  <si>
    <t>Finnország</t>
  </si>
  <si>
    <t>Svédország</t>
  </si>
  <si>
    <t>Izland</t>
  </si>
  <si>
    <t>Liechtenstein</t>
  </si>
  <si>
    <t>Norvégia</t>
  </si>
  <si>
    <t>Horvátország</t>
  </si>
  <si>
    <t>Törökország</t>
  </si>
  <si>
    <t>MK</t>
  </si>
  <si>
    <t>Franciaország</t>
  </si>
  <si>
    <t>Portugália</t>
  </si>
  <si>
    <t>Románia</t>
  </si>
  <si>
    <t>Macedónia</t>
  </si>
  <si>
    <t>Málta</t>
  </si>
  <si>
    <t>Csehország</t>
  </si>
  <si>
    <t>Egyesült Királyság</t>
  </si>
  <si>
    <t>Görögörszág</t>
  </si>
  <si>
    <t>Luxemburg</t>
  </si>
  <si>
    <t>Partner meetings</t>
  </si>
  <si>
    <t>Project management and implementation - GRANT REQUESTED</t>
  </si>
  <si>
    <t>Program Countries</t>
  </si>
  <si>
    <t>Partner Countries</t>
  </si>
  <si>
    <t>San Marino</t>
  </si>
  <si>
    <t>United States of America</t>
  </si>
  <si>
    <t>Andorra</t>
  </si>
  <si>
    <t>Bahamas</t>
  </si>
  <si>
    <t>Afghanistan</t>
  </si>
  <si>
    <t>Project duration (months)</t>
  </si>
  <si>
    <t>Grant requested / months</t>
  </si>
  <si>
    <t>Grant requested / total</t>
  </si>
  <si>
    <t>Intellectual outputs - GRANT REQUESTED</t>
  </si>
  <si>
    <t>Total grant - staff by category</t>
  </si>
  <si>
    <t>Countries</t>
  </si>
  <si>
    <t>Australia</t>
  </si>
  <si>
    <t>Canada</t>
  </si>
  <si>
    <t>Kuwait</t>
  </si>
  <si>
    <t>Macao</t>
  </si>
  <si>
    <t>Monaco</t>
  </si>
  <si>
    <t>Qatar</t>
  </si>
  <si>
    <t>Project management and implementation</t>
  </si>
  <si>
    <t>Transnational training, teaching and learning</t>
  </si>
  <si>
    <t>Special needs support</t>
  </si>
  <si>
    <t>Short term joint staff training events</t>
  </si>
  <si>
    <t>Only for activities lasting between 2 and 12 months needing linguistic support:
per participant</t>
  </si>
  <si>
    <t>Conditional: the request for financial support must be motivated in the application form</t>
  </si>
  <si>
    <t>Conditional: applicants will have to justify that mobility activities are necessary to achieve the objectives and results of the project.
Travel distances must be calculated using the distance calculator supported by the European Commission.</t>
  </si>
  <si>
    <t>Transnational Project Meetings - GRANT REQUESTED</t>
  </si>
  <si>
    <t>For travel distances of 2000 KM or more:</t>
  </si>
  <si>
    <t>Number of working days on the item</t>
  </si>
  <si>
    <t>Purpose of the meeting</t>
  </si>
  <si>
    <t>Distance Band</t>
  </si>
  <si>
    <t>Grant Requested</t>
  </si>
  <si>
    <t>Duration (days)</t>
  </si>
  <si>
    <t>Distance band</t>
  </si>
  <si>
    <t>100-1999 km</t>
  </si>
  <si>
    <t>Intellectual outputs</t>
  </si>
  <si>
    <t>more than 2000 km</t>
  </si>
  <si>
    <t>Transnational Project meetings</t>
  </si>
  <si>
    <t>Exceptional costs</t>
  </si>
  <si>
    <t>Intellectual Outputs</t>
  </si>
  <si>
    <t>Grant requested</t>
  </si>
  <si>
    <t>Total grant requested</t>
  </si>
  <si>
    <t>Event Identification</t>
  </si>
  <si>
    <t>Nr. of Local Participants</t>
  </si>
  <si>
    <t>Nr. of Foreign Participants</t>
  </si>
  <si>
    <t>Total grant  requested</t>
  </si>
  <si>
    <t>Overall 
total grant requested</t>
  </si>
  <si>
    <t>Special Needs - GRANT REQUESTED</t>
  </si>
  <si>
    <t>Nr. of Participants with Special Needs</t>
  </si>
  <si>
    <t>List of activities to which the item refers to</t>
  </si>
  <si>
    <t>Exceptional Costs - GRANT REQUESTED</t>
  </si>
  <si>
    <t>Description of Cost Item</t>
  </si>
  <si>
    <t>MultiplIer Events - GRANT REQUESTED</t>
  </si>
  <si>
    <t>Activity type</t>
  </si>
  <si>
    <t>Nr. of Participants</t>
  </si>
  <si>
    <t>Travel Grant Requested</t>
  </si>
  <si>
    <t>Multiplier Events</t>
  </si>
  <si>
    <t>For travel distances between 100 and 1999 KM:</t>
  </si>
  <si>
    <t>Grant/ participants</t>
  </si>
  <si>
    <t>Limit of grant</t>
  </si>
  <si>
    <t>Limit</t>
  </si>
  <si>
    <t xml:space="preserve">Limit of grant </t>
  </si>
  <si>
    <t>between the 15 th and 60 th day of activity: per day per participant</t>
  </si>
  <si>
    <t>Brunei</t>
  </si>
  <si>
    <t>Japan</t>
  </si>
  <si>
    <t>New Zealand</t>
  </si>
  <si>
    <t>Singapore</t>
  </si>
  <si>
    <t>United Arab Emirates</t>
  </si>
  <si>
    <t>Vatican City State</t>
  </si>
  <si>
    <t>Bahrain</t>
  </si>
  <si>
    <t>Equatorial Guinea</t>
  </si>
  <si>
    <t>Hong Kong</t>
  </si>
  <si>
    <t>Israel</t>
  </si>
  <si>
    <t>Korea (Republic of)</t>
  </si>
  <si>
    <t>Oman</t>
  </si>
  <si>
    <t>Saudi Arabia</t>
  </si>
  <si>
    <t>Taiwan</t>
  </si>
  <si>
    <t>Albania</t>
  </si>
  <si>
    <t>Algeria</t>
  </si>
  <si>
    <t>Angola</t>
  </si>
  <si>
    <t>Antigua and Barbuda</t>
  </si>
  <si>
    <t>Argentina</t>
  </si>
  <si>
    <t>Armenia</t>
  </si>
  <si>
    <t>Azerbaijan</t>
  </si>
  <si>
    <t>Bangladesh</t>
  </si>
  <si>
    <t>Barbados</t>
  </si>
  <si>
    <t>Chile</t>
  </si>
  <si>
    <t>Belarus</t>
  </si>
  <si>
    <t>Belize</t>
  </si>
  <si>
    <t>Benin</t>
  </si>
  <si>
    <t>Bhutan</t>
  </si>
  <si>
    <t>Bolivia</t>
  </si>
  <si>
    <t>Bosnia and Herzegovina</t>
  </si>
  <si>
    <t>Botswana</t>
  </si>
  <si>
    <t>Brazil</t>
  </si>
  <si>
    <t>Burkina Faso</t>
  </si>
  <si>
    <t>Burundi</t>
  </si>
  <si>
    <t>Cambodia</t>
  </si>
  <si>
    <t>Cameroon</t>
  </si>
  <si>
    <t>Cape Verde</t>
  </si>
  <si>
    <t>Central African Republic</t>
  </si>
  <si>
    <t>Chad</t>
  </si>
  <si>
    <t>China</t>
  </si>
  <si>
    <t>Colombia</t>
  </si>
  <si>
    <t>Comoros</t>
  </si>
  <si>
    <t>Congo (Brazzaville)</t>
  </si>
  <si>
    <t>Congo (Kinshasa)</t>
  </si>
  <si>
    <t>Cook Islands</t>
  </si>
  <si>
    <t>Costa Rica</t>
  </si>
  <si>
    <t>Cuba</t>
  </si>
  <si>
    <t>Djibouti</t>
  </si>
  <si>
    <t>Dominica</t>
  </si>
  <si>
    <t>Dominican Republic</t>
  </si>
  <si>
    <t>East Timor</t>
  </si>
  <si>
    <t>Ecuador</t>
  </si>
  <si>
    <t>Egypt</t>
  </si>
  <si>
    <t>El Salvador</t>
  </si>
  <si>
    <t>Eritrea</t>
  </si>
  <si>
    <t>Ethiopia</t>
  </si>
  <si>
    <t>Fiji</t>
  </si>
  <si>
    <t>Gabon</t>
  </si>
  <si>
    <t>Gambia</t>
  </si>
  <si>
    <t>Georgia</t>
  </si>
  <si>
    <t>Ghana</t>
  </si>
  <si>
    <t>Grenada</t>
  </si>
  <si>
    <t>Guatemala</t>
  </si>
  <si>
    <t>Guinea (Republic of)</t>
  </si>
  <si>
    <t>Guinea-Bissau</t>
  </si>
  <si>
    <t>Guyana</t>
  </si>
  <si>
    <t>Haiti</t>
  </si>
  <si>
    <t>Honduras</t>
  </si>
  <si>
    <t>India</t>
  </si>
  <si>
    <t>Indonesia</t>
  </si>
  <si>
    <t>Iran</t>
  </si>
  <si>
    <t>Iraq</t>
  </si>
  <si>
    <t>Ivory Coast</t>
  </si>
  <si>
    <t>Jamaica</t>
  </si>
  <si>
    <t>Jordan</t>
  </si>
  <si>
    <t>Kazakhstan</t>
  </si>
  <si>
    <t>Kenya</t>
  </si>
  <si>
    <t>Kiribati</t>
  </si>
  <si>
    <t>Korea (DPR)</t>
  </si>
  <si>
    <t>Kosovo</t>
  </si>
  <si>
    <t>Kyrgyzstan</t>
  </si>
  <si>
    <t>Laos</t>
  </si>
  <si>
    <t>Lebanon</t>
  </si>
  <si>
    <t>Lesotho</t>
  </si>
  <si>
    <t>Liberia</t>
  </si>
  <si>
    <t>Libya</t>
  </si>
  <si>
    <t>Madagascar</t>
  </si>
  <si>
    <t>Malawi</t>
  </si>
  <si>
    <t>Malaysia</t>
  </si>
  <si>
    <t>Maldives</t>
  </si>
  <si>
    <t>Mali</t>
  </si>
  <si>
    <t>Marshall Islands</t>
  </si>
  <si>
    <t>Mauritania</t>
  </si>
  <si>
    <t>Mauritius</t>
  </si>
  <si>
    <t>Mexico</t>
  </si>
  <si>
    <t>Micronesia</t>
  </si>
  <si>
    <t>Moldova</t>
  </si>
  <si>
    <t>Mongolia</t>
  </si>
  <si>
    <t>Montenegro</t>
  </si>
  <si>
    <t>Morocco</t>
  </si>
  <si>
    <t>Mozambique</t>
  </si>
  <si>
    <t>Myanmar</t>
  </si>
  <si>
    <t>Namibia</t>
  </si>
  <si>
    <t>Nauru</t>
  </si>
  <si>
    <t>Nepal</t>
  </si>
  <si>
    <t>Nicaragua</t>
  </si>
  <si>
    <t>Niger</t>
  </si>
  <si>
    <t>Nigeria</t>
  </si>
  <si>
    <t>Niue</t>
  </si>
  <si>
    <t>Pakistan</t>
  </si>
  <si>
    <t>Palau</t>
  </si>
  <si>
    <t>Palestine</t>
  </si>
  <si>
    <t>Panama</t>
  </si>
  <si>
    <t>Papua New Guinea</t>
  </si>
  <si>
    <t>Paraguay</t>
  </si>
  <si>
    <t>Peru</t>
  </si>
  <si>
    <t>Philippines</t>
  </si>
  <si>
    <t>Russian Federation</t>
  </si>
  <si>
    <t>Rwanda</t>
  </si>
  <si>
    <t>Samoa</t>
  </si>
  <si>
    <t>Sao Tome and Principe</t>
  </si>
  <si>
    <t>Senegal</t>
  </si>
  <si>
    <t>Serbia</t>
  </si>
  <si>
    <t>Seychelles</t>
  </si>
  <si>
    <t>Sierra Leone</t>
  </si>
  <si>
    <t>Solomon Islands</t>
  </si>
  <si>
    <t>Somalia</t>
  </si>
  <si>
    <t>South Africa</t>
  </si>
  <si>
    <t>Sri Lanka</t>
  </si>
  <si>
    <t>St. Lucia</t>
  </si>
  <si>
    <t>St. Vincent and the Grenadines</t>
  </si>
  <si>
    <t>St. Kitts and Nevis</t>
  </si>
  <si>
    <t>Sudan</t>
  </si>
  <si>
    <t>Suriname</t>
  </si>
  <si>
    <t>Swaziland</t>
  </si>
  <si>
    <t>Syria</t>
  </si>
  <si>
    <t>Tajikistan</t>
  </si>
  <si>
    <t>Tanzania</t>
  </si>
  <si>
    <t>Thailand</t>
  </si>
  <si>
    <t>Togo</t>
  </si>
  <si>
    <t>Tonga</t>
  </si>
  <si>
    <t>Trinidad and Tobago</t>
  </si>
  <si>
    <t>Tunisia</t>
  </si>
  <si>
    <t>Turkmenistan</t>
  </si>
  <si>
    <t>Tuvalu</t>
  </si>
  <si>
    <t>Uganda</t>
  </si>
  <si>
    <t>Ukraine</t>
  </si>
  <si>
    <t>Uruguay</t>
  </si>
  <si>
    <t>Uzbekistan</t>
  </si>
  <si>
    <t>Vanuatu</t>
  </si>
  <si>
    <t>Venezuela</t>
  </si>
  <si>
    <t>Vietnam</t>
  </si>
  <si>
    <t>Yemen</t>
  </si>
  <si>
    <t>Zambia</t>
  </si>
  <si>
    <t>Zimbabwe</t>
  </si>
  <si>
    <t>Grant per Local Participants:</t>
  </si>
  <si>
    <t>Grant per Foreign Participants:</t>
  </si>
  <si>
    <t>Grant  requested (75%)</t>
  </si>
  <si>
    <t>Long-term teaching or training assignments (in euro per day)</t>
  </si>
  <si>
    <t>Linguistic support - csak tanulóknak B.1.8</t>
  </si>
  <si>
    <t>Long-term teaching, training ... - Travel grant</t>
  </si>
  <si>
    <t>Total grant requested:</t>
  </si>
  <si>
    <t>Total working days:</t>
  </si>
  <si>
    <t>Grant total - staff:</t>
  </si>
  <si>
    <t>Total management grant:</t>
  </si>
  <si>
    <t>Grant  requested</t>
  </si>
  <si>
    <t>TOTALS:</t>
  </si>
  <si>
    <t>Total of participants:</t>
  </si>
  <si>
    <t>Meeting Nr.</t>
  </si>
  <si>
    <t>Activity Nr.</t>
  </si>
  <si>
    <t>Coordinating organisation</t>
  </si>
  <si>
    <t>Totals:</t>
  </si>
  <si>
    <t>Short term activities for learners</t>
  </si>
  <si>
    <t>Linguistic Support</t>
  </si>
  <si>
    <t>Requested</t>
  </si>
  <si>
    <t>Subsistence Grant</t>
  </si>
  <si>
    <t>/participants</t>
  </si>
  <si>
    <t>Általános szabály</t>
  </si>
  <si>
    <t>Ha bármelyik munkalapon hiba maradt, akkor a tétel összesítésénél is hibaüzenet jelenik meg. A hibát a megfelelő munkalapon kell javítani!</t>
  </si>
  <si>
    <t xml:space="preserve">A 'Partner meetings' és a 'Transnational training, teaching' munkalapokon a távolsági sávok meghatározására használja a távolság-kalkulátort: </t>
  </si>
  <si>
    <t xml:space="preserve">A támogatási igény bevitelét a 'Management' lap kitöltésével kell kezdeni. </t>
  </si>
  <si>
    <t>Ha valamely tétel miatt a  támogatási igény meghaladná a limitet, akkor a táblázat hibát jelez.</t>
  </si>
  <si>
    <t xml:space="preserve">Az utolsó munkalapon ('Total grant requested') a támogatási igény összesítése látható, partnerenként és költségtételenként. </t>
  </si>
  <si>
    <t>Name of the project:</t>
  </si>
  <si>
    <t>[please complete the name of the project as in the application form]</t>
  </si>
  <si>
    <t>PROJECT TIMETABLE</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</si>
  <si>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</si>
  <si>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</si>
  <si>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</si>
  <si>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</si>
  <si>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</si>
  <si>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</si>
  <si>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</si>
  <si>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</si>
  <si>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</si>
  <si>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</si>
  <si>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</si>
  <si>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</si>
  <si>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</si>
  <si>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</si>
  <si>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</si>
  <si>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</si>
  <si>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</si>
  <si>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</si>
  <si>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</si>
  <si>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</si>
  <si>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</si>
  <si>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</si>
  <si>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</si>
  <si>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</si>
  <si>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</si>
  <si>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</si>
  <si>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</si>
  <si>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</si>
  <si>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</si>
  <si>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</si>
  <si>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</si>
  <si>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</si>
  <si>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</si>
  <si>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</si>
  <si>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</si>
  <si>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</si>
  <si>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Project activity*</t>
  </si>
  <si>
    <t>Az 'Overview' lap:</t>
  </si>
  <si>
    <t>2.</t>
  </si>
  <si>
    <t>5.</t>
  </si>
  <si>
    <t>7.</t>
  </si>
  <si>
    <t>Nr. of accompany-ing persons</t>
  </si>
  <si>
    <t>Nr. of participants</t>
  </si>
  <si>
    <t>/accompany-ing persons</t>
  </si>
  <si>
    <t>The meeting takes place in</t>
  </si>
  <si>
    <t>A dátum formátuma: éééé.hh(.nn): évet, hónapot (napot) kell beírni.</t>
  </si>
  <si>
    <t>A munkalapok minden kategóriában a bevitt adatok alapján, a pénzügyi szabályoknak megfelelően számolják a támogatási igényt.</t>
  </si>
  <si>
    <t>Estimated date (year and month)</t>
  </si>
  <si>
    <t>Nr. and description of intellectual output</t>
  </si>
  <si>
    <t>Az egyes munkalapok kitöltése:</t>
  </si>
  <si>
    <t>Transnational training, teaching and learning activities - GRANT REQUESTED</t>
  </si>
  <si>
    <t>months</t>
  </si>
  <si>
    <t>Duration (months)</t>
  </si>
  <si>
    <t>Project title/acronym</t>
  </si>
  <si>
    <t>Start of project</t>
  </si>
  <si>
    <t>End of project</t>
  </si>
  <si>
    <t xml:space="preserve">A világos sárga cellákban lenyíló listákat találunk, ezeket is ki kell tölteni. </t>
  </si>
  <si>
    <t>A barack színű cellák nem szerkeszthetők, képlet számolja az értéket (védett).</t>
  </si>
  <si>
    <t>A projekt futamideje alapján kiszámolja az adható támogatás felső határát.</t>
  </si>
  <si>
    <t>In case of joint staff training: participants should involve at least two partners from different countries! </t>
  </si>
  <si>
    <t>575 EUR per participant per meeting</t>
  </si>
  <si>
    <t>760 EUR per participant per meeting</t>
  </si>
  <si>
    <t>Ezen a munkalapon kell feltünteni a projekt címét, a projekt tervezett futamidejét és kezdő dátumát (az Excel számára értelmezhető dátumként).</t>
  </si>
  <si>
    <t>Duration for participants</t>
  </si>
  <si>
    <t>Duration for accompany-ing persons</t>
  </si>
  <si>
    <t>Short-term joint staff training events</t>
  </si>
  <si>
    <t>kisérő</t>
  </si>
  <si>
    <t>B1.8</t>
  </si>
  <si>
    <t>Long-term mobility of youth workers</t>
  </si>
  <si>
    <t>AE</t>
  </si>
  <si>
    <t>HE</t>
  </si>
  <si>
    <t>VET</t>
  </si>
  <si>
    <t>Youth</t>
  </si>
  <si>
    <t>B1.5-7</t>
  </si>
  <si>
    <t>Short-term blended mobility of school learners</t>
  </si>
  <si>
    <t>Long-term activities of pupils alapképzés, iskolai szakképzés</t>
  </si>
  <si>
    <t>Short-term intensive programmes for teaching staff</t>
  </si>
  <si>
    <t>Short-term invited teachers at higher education Intensive Study Programmes</t>
  </si>
  <si>
    <r>
      <rPr>
        <b/>
        <sz val="12"/>
        <rFont val="Arial Narrow"/>
        <family val="2"/>
      </rPr>
      <t>Long-term teaching</t>
    </r>
    <r>
      <rPr>
        <sz val="12"/>
        <rFont val="Arial Narrow"/>
        <family val="2"/>
      </rPr>
      <t xml:space="preserve"> or training assignments</t>
    </r>
  </si>
  <si>
    <t>Short-term activities for learners</t>
  </si>
  <si>
    <t>Rates</t>
  </si>
  <si>
    <t>2. Researcher, teacher and/or trainer, youth worker</t>
  </si>
  <si>
    <t xml:space="preserve">1.  </t>
  </si>
  <si>
    <t xml:space="preserve">3. </t>
  </si>
  <si>
    <t>4.</t>
  </si>
  <si>
    <t>6.</t>
  </si>
  <si>
    <t>Ha szektorközi pályázatot terveznek, és a másodlagos szerktorban is terveznek nemzetközi mobilitást, akkor válasszák ki a szektornak megfelelő munkalapot és a hasonlóan töltsék ki.</t>
  </si>
  <si>
    <t>SE Transnational training, teaching: közoktatási szektorban
AE Transnational training, teaching: felnőttanulási szektorban
HE Transnational training, teaching: felsőoktatási szektorban
Youth Transnational training, teaching: ifjúsági szektorban</t>
  </si>
  <si>
    <t>Other</t>
  </si>
  <si>
    <r>
      <t xml:space="preserve">up to the 14th day of activity: B1.5 </t>
    </r>
    <r>
      <rPr>
        <b/>
        <sz val="10"/>
        <color indexed="10"/>
        <rFont val="Arial Narrow"/>
        <family val="2"/>
      </rPr>
      <t xml:space="preserve">per day per participant </t>
    </r>
  </si>
  <si>
    <r>
      <t xml:space="preserve">between the 15th and 60 th day of activity: B1.6
</t>
    </r>
    <r>
      <rPr>
        <b/>
        <sz val="10"/>
        <color indexed="10"/>
        <rFont val="Arial Narrow"/>
        <family val="2"/>
      </rPr>
      <t>per day per participant</t>
    </r>
    <r>
      <rPr>
        <sz val="10"/>
        <rFont val="Arial Narrow"/>
        <family val="2"/>
      </rPr>
      <t xml:space="preserve">
</t>
    </r>
  </si>
  <si>
    <r>
      <t xml:space="preserve">between the 61th day of activity and up to 12 months: B1.7 </t>
    </r>
    <r>
      <rPr>
        <b/>
        <sz val="10"/>
        <color indexed="10"/>
        <rFont val="Arial Narrow"/>
        <family val="2"/>
      </rPr>
      <t>per day per participant</t>
    </r>
  </si>
  <si>
    <r>
      <t xml:space="preserve">B1.8 </t>
    </r>
    <r>
      <rPr>
        <b/>
        <sz val="10"/>
        <color indexed="10"/>
        <rFont val="Arial Narrow"/>
        <family val="2"/>
      </rPr>
      <t>per month per participant</t>
    </r>
  </si>
  <si>
    <r>
      <rPr>
        <b/>
        <sz val="12"/>
        <rFont val="Arial Narrow"/>
        <family val="2"/>
      </rPr>
      <t>Short-term blended</t>
    </r>
    <r>
      <rPr>
        <sz val="12"/>
        <rFont val="Arial Narrow"/>
        <family val="2"/>
      </rPr>
      <t xml:space="preserve"> mobility of VET learners</t>
    </r>
  </si>
  <si>
    <r>
      <rPr>
        <b/>
        <sz val="12"/>
        <rFont val="Arial Narrow"/>
        <family val="2"/>
      </rPr>
      <t>Short-term joint staff</t>
    </r>
    <r>
      <rPr>
        <sz val="12"/>
        <rFont val="Arial Narrow"/>
        <family val="2"/>
      </rPr>
      <t xml:space="preserve"> training events</t>
    </r>
  </si>
  <si>
    <r>
      <rPr>
        <b/>
        <sz val="12"/>
        <rFont val="Arial Narrow"/>
        <family val="2"/>
      </rPr>
      <t>Long-term study</t>
    </r>
    <r>
      <rPr>
        <sz val="12"/>
        <rFont val="Arial Narrow"/>
        <family val="2"/>
      </rPr>
      <t xml:space="preserve"> mobility of pupils</t>
    </r>
  </si>
  <si>
    <r>
      <rPr>
        <b/>
        <sz val="12"/>
        <rFont val="Arial Narrow"/>
        <family val="2"/>
      </rPr>
      <t>Short-term blended</t>
    </r>
    <r>
      <rPr>
        <sz val="12"/>
        <rFont val="Arial Narrow"/>
        <family val="2"/>
      </rPr>
      <t xml:space="preserve"> mobility of young people</t>
    </r>
  </si>
  <si>
    <r>
      <rPr>
        <b/>
        <sz val="12"/>
        <rFont val="Arial Narrow"/>
        <family val="2"/>
      </rPr>
      <t>Short-term blended</t>
    </r>
    <r>
      <rPr>
        <sz val="12"/>
        <rFont val="Arial Narrow"/>
        <family val="2"/>
      </rPr>
      <t xml:space="preserve"> mobility of adult learners</t>
    </r>
  </si>
  <si>
    <r>
      <rPr>
        <b/>
        <sz val="12"/>
        <rFont val="Arial Narrow"/>
        <family val="2"/>
      </rPr>
      <t>Short-term blended</t>
    </r>
    <r>
      <rPr>
        <sz val="12"/>
        <rFont val="Arial Narrow"/>
        <family val="2"/>
      </rPr>
      <t xml:space="preserve"> mobility of higher education students</t>
    </r>
  </si>
  <si>
    <t>10–99 km</t>
  </si>
  <si>
    <t>100-499 km</t>
  </si>
  <si>
    <t>500-1999 km</t>
  </si>
  <si>
    <t>2000-2999</t>
  </si>
  <si>
    <t>3000-3999 km</t>
  </si>
  <si>
    <t>4000-7999 km</t>
  </si>
  <si>
    <t>more than 8000 km</t>
  </si>
  <si>
    <t>Partner Name</t>
  </si>
  <si>
    <t>Switzerland</t>
  </si>
  <si>
    <t>Total number of participants:</t>
  </si>
  <si>
    <t>Country of venue</t>
  </si>
  <si>
    <t>Szakképzés</t>
  </si>
  <si>
    <t>Felsőoktatás</t>
  </si>
  <si>
    <t>Felnőtt tanulás</t>
  </si>
  <si>
    <t>Köznevelés</t>
  </si>
  <si>
    <t>Ifjúság</t>
  </si>
  <si>
    <t>Tapasztalatcsere projektek esetén csak megfelelő indoklással igényelhető. A támogatási arány: 75%! 
Max. 50 000 EUR per projekt</t>
  </si>
  <si>
    <t>Representatives of participating organisations are NOT included in the Nr of participants!
Max. 30 000 EUR per projekt</t>
  </si>
  <si>
    <t>A menedzsmentre igényelhető támogatást az űrlap számolja, 10-nél több partner után a limit miatt nem igényelhető támogatás ebben a kategóriában.</t>
  </si>
  <si>
    <t>A további munkalapokon azokat a partnereket kell kiválasztani az A oszlopban, akiknek részéről támogatási igény felmerül.</t>
  </si>
  <si>
    <t>A partnerek adatait abban a sorrendben vigyék be, ahogy pályázati űrlapban kívánják megadni: az A oszlop partnerek nevét(!) kéri, a B oszlop a partner székhelye szerinti országot jelenti. 
    A szervezet nevét beírni kell, az oszágot kiválasztani a lenyíló listából.</t>
  </si>
  <si>
    <t>Exceptional costs - Expensive Travel</t>
  </si>
  <si>
    <t>Exceptional Costs for Expensive Travel - GRANT REQUESTED</t>
  </si>
  <si>
    <t>Grant requested
(up to 80% of eligible costs)</t>
  </si>
  <si>
    <r>
      <t xml:space="preserve">Contribution only for travel costs of transnational learning and teaching activities.
</t>
    </r>
    <r>
      <rPr>
        <b/>
        <sz val="12"/>
        <color rgb="FFFF0000"/>
        <rFont val="Arial Narrow"/>
        <family val="2"/>
        <charset val="238"/>
      </rPr>
      <t>Please duly justify!</t>
    </r>
  </si>
  <si>
    <r>
      <t xml:space="preserve">A fájl munkalapjainak színe az egyes pályázattípusokban tervezhető támogatási tételek szerint változik. 
</t>
    </r>
    <r>
      <rPr>
        <b/>
        <sz val="10"/>
        <color rgb="FF00B050"/>
        <rFont val="Avenir Light"/>
        <family val="2"/>
      </rPr>
      <t>A zölddel jelölt munkalapokon</t>
    </r>
    <r>
      <rPr>
        <sz val="10"/>
        <rFont val="Avenir Light"/>
        <family val="2"/>
      </rPr>
      <t xml:space="preserve"> minden stratégiai partnerségi projektek által egyaránt igényelhető támogatást lehet számolni (a pénzügy szabályok feltételei szerint): 
- mind a bevált gyakorlatok cseréjét, mind az innovációt támogató stratégiai partnerségekben: </t>
    </r>
    <r>
      <rPr>
        <b/>
        <sz val="10"/>
        <color rgb="FF00B050"/>
        <rFont val="Avenir Light"/>
        <family val="2"/>
      </rPr>
      <t>Management, Partner meetings</t>
    </r>
    <r>
      <rPr>
        <sz val="10"/>
        <rFont val="Avenir Light"/>
        <family val="2"/>
      </rPr>
      <t xml:space="preserve">; 
- különleges/indokolt esetben: </t>
    </r>
    <r>
      <rPr>
        <sz val="10"/>
        <color rgb="FF00B050"/>
        <rFont val="Avenir Light"/>
        <family val="2"/>
      </rPr>
      <t>Exceptional costs, Special needs</t>
    </r>
    <r>
      <rPr>
        <sz val="10"/>
        <rFont val="Avenir Light"/>
        <family val="2"/>
      </rPr>
      <t xml:space="preserve">; 
- illetve ha nemzetközi mobilitást terveznek akkor zöld füllel szerepel </t>
    </r>
    <r>
      <rPr>
        <sz val="10"/>
        <color rgb="FF00B050"/>
        <rFont val="Avenir Light"/>
        <family val="2"/>
      </rPr>
      <t>a szektornak megfelelő Transnational trainings, teachings ...</t>
    </r>
    <r>
      <rPr>
        <sz val="10"/>
        <rFont val="Avenir Light"/>
        <family val="2"/>
      </rPr>
      <t xml:space="preserve"> lap.
</t>
    </r>
    <r>
      <rPr>
        <b/>
        <sz val="10"/>
        <color rgb="FFFF0000"/>
        <rFont val="Avenir Light"/>
        <family val="2"/>
      </rPr>
      <t>A pirossal jelölt lapfüleken</t>
    </r>
    <r>
      <rPr>
        <sz val="10"/>
        <rFont val="Avenir Light"/>
        <family val="2"/>
      </rPr>
      <t xml:space="preserve"> olyan kategóriák szerepelnek, melyek feltételek teljesülése esetén igényelhetők:
- </t>
    </r>
    <r>
      <rPr>
        <b/>
        <sz val="10"/>
        <color rgb="FFFF0000"/>
        <rFont val="Avenir Light"/>
        <family val="2"/>
      </rPr>
      <t xml:space="preserve">kizárólag innovációt támogató </t>
    </r>
    <r>
      <rPr>
        <sz val="10"/>
        <rFont val="Avenir Light"/>
        <family val="2"/>
      </rPr>
      <t xml:space="preserve">stragétiai partnerségekben használható lapok: </t>
    </r>
    <r>
      <rPr>
        <b/>
        <sz val="10"/>
        <color rgb="FFFF0000"/>
        <rFont val="Avenir Light"/>
        <family val="2"/>
      </rPr>
      <t>Intellectual outputs; Multiplier events</t>
    </r>
    <r>
      <rPr>
        <sz val="10"/>
        <rFont val="Avenir Light"/>
        <family val="2"/>
      </rPr>
      <t xml:space="preserve">
- </t>
    </r>
    <r>
      <rPr>
        <b/>
        <sz val="10"/>
        <color rgb="FFFF0000"/>
        <rFont val="Avenir Light"/>
        <family val="2"/>
      </rPr>
      <t>kizárólag szektorközi pályázatok esetén</t>
    </r>
    <r>
      <rPr>
        <sz val="10"/>
        <rFont val="Avenir Light"/>
        <family val="2"/>
      </rPr>
      <t xml:space="preserve"> használható </t>
    </r>
    <r>
      <rPr>
        <b/>
        <sz val="10"/>
        <color rgb="FFFF0000"/>
        <rFont val="Avenir Light"/>
        <family val="2"/>
      </rPr>
      <t>a másodlagos szektor résztvevőinek nemzetközi mobilitásához</t>
    </r>
    <r>
      <rPr>
        <sz val="10"/>
        <rFont val="Avenir Light"/>
        <family val="2"/>
      </rPr>
      <t xml:space="preserve"> a pirossal jelölt </t>
    </r>
    <r>
      <rPr>
        <b/>
        <sz val="10"/>
        <color rgb="FFFF0000"/>
        <rFont val="Avenir Light"/>
        <family val="2"/>
      </rPr>
      <t>Transnational training. teachings ... lapok, melyekből AZ ÉRINTETT SZEKTOR rövidítésével kezdődő munkalap</t>
    </r>
    <r>
      <rPr>
        <sz val="10"/>
        <rFont val="Avenir Light"/>
        <family val="2"/>
      </rPr>
      <t>ot válasszák! A szektorokban eltérő mobilitási szabályok szerint csak így tudnak helyesen számolni!</t>
    </r>
  </si>
  <si>
    <r>
      <rPr>
        <sz val="10"/>
        <rFont val="Avenir Light"/>
        <family val="2"/>
      </rPr>
      <t xml:space="preserve">A megadott adatok alapján megjelenik a projekt záró dátuma. </t>
    </r>
    <r>
      <rPr>
        <b/>
        <i/>
        <sz val="10"/>
        <rFont val="Avenir Light"/>
        <family val="2"/>
      </rPr>
      <t>A következő lapokon ügyeljünk, hogy csak ezen időkereten belüli dátumokat használjunk!</t>
    </r>
  </si>
  <si>
    <r>
      <rPr>
        <b/>
        <sz val="10"/>
        <rFont val="Avenir Light"/>
        <family val="2"/>
      </rPr>
      <t>A 'Partner meetings' lapon a találkozó helyét a házigazda partner kiválasztásával adjuk meg.</t>
    </r>
    <r>
      <rPr>
        <sz val="10"/>
        <rFont val="Avenir Light"/>
        <family val="2"/>
      </rPr>
      <t xml:space="preserve"> Ügyeljünk arra, hogy azonos sorszámú találkozó esetén azonos célhely legyen megadva, hogy a táblázat ne legyen ellentmondásos.</t>
    </r>
  </si>
  <si>
    <r>
      <rPr>
        <b/>
        <sz val="10"/>
        <rFont val="Avenir Light"/>
        <family val="2"/>
      </rPr>
      <t>A 'VET Transnational training, teaching' lap:</t>
    </r>
    <r>
      <rPr>
        <sz val="10"/>
        <rFont val="Avenir Light"/>
        <family val="2"/>
      </rPr>
      <t xml:space="preserve">
A hosszútávú tevékenységek időkerete: 2-12 hónap, a rövidtávú tevékenységek időtartama max. 60 nap lehet.
'Long-term teaching or training' tevékenységtípus esetén nyelvi támogatás is elszámolható indokolt esetben, így ennél a tevékenységtípusnál az ezt igénylők számát is megadhatjuk.
Ha a partnerség tagjai között van E+ partnerországban honos szervezet, akkor csakis "Joint staff training" tevékenységhez kapcsolódóan igényelhet támogatást.
A 'Blended mobility of VET learners' tevékenységtípus esetén kísérők költsége is elszámolható, így ennél a tevékenységtípusnál a kísérők számát is megadhatjuk.</t>
    </r>
  </si>
  <si>
    <r>
      <rPr>
        <b/>
        <sz val="10"/>
        <rFont val="Avenir Light"/>
        <family val="2"/>
      </rPr>
      <t>8</t>
    </r>
    <r>
      <rPr>
        <sz val="11"/>
        <color indexed="8"/>
        <rFont val="Calibri"/>
        <family val="2"/>
        <charset val="238"/>
      </rPr>
      <t>.</t>
    </r>
  </si>
  <si>
    <t>Kizárólag szektorközi tervezet esetén tölthető ki!</t>
  </si>
  <si>
    <t>Short-term intensive programmes for higher education students</t>
  </si>
  <si>
    <t>between 5 day and 14th day of activity: per day per participant</t>
  </si>
  <si>
    <t>between 3 day and 14th day of activity: per day per participant</t>
  </si>
  <si>
    <t>0–9 km</t>
  </si>
  <si>
    <t xml:space="preserve">http://ec.europa.eu/programmes/erasmus-plus/resources/distance-calculator_en </t>
  </si>
  <si>
    <r>
      <rPr>
        <b/>
        <i/>
        <sz val="10"/>
        <color indexed="10"/>
        <rFont val="Avenir Light"/>
        <family val="2"/>
      </rPr>
      <t>Munkaterv - GANTT</t>
    </r>
    <r>
      <rPr>
        <b/>
        <sz val="10"/>
        <rFont val="Avenir Light"/>
        <family val="2"/>
      </rPr>
      <t xml:space="preserve">: </t>
    </r>
  </si>
  <si>
    <t>Please insert columns as needed</t>
  </si>
  <si>
    <t>Responsible partner</t>
  </si>
  <si>
    <t>Co-operating partners</t>
  </si>
  <si>
    <t>Results/outputs</t>
  </si>
  <si>
    <t>Short-term exchanges of groups of pupils</t>
  </si>
  <si>
    <t>Timeframe</t>
  </si>
  <si>
    <t>From</t>
  </si>
  <si>
    <t>To</t>
  </si>
  <si>
    <t>Ahol egy sorban többfehér cellát találunk, ott mindegyiket ki kell tölteni: addig nem látszik a támogatási igény, amíg ez nincs meg.</t>
  </si>
  <si>
    <t>Please insert/delete columns and rows as needed</t>
  </si>
  <si>
    <r>
      <rPr>
        <b/>
        <sz val="10"/>
        <rFont val="Avenir Light"/>
        <family val="2"/>
      </rPr>
      <t>Törekedjenek arra, hogy a tevékenységek /eredmények - termékek kódolása összhangban legyen a pályázati űrlappa</t>
    </r>
    <r>
      <rPr>
        <sz val="10"/>
        <rFont val="Avenir Light"/>
        <family val="2"/>
      </rPr>
      <t xml:space="preserve">l, ezért javasoljuk, hogy a Gantt-diagramot a véglegesítés során frissítésék a pályáazati űrlap automatikus számozásaival. A könnyebb kezelhetőség érdekében szúrhatnak be oszlopot a kódolás mellé, a megnevezésre is. 
</t>
    </r>
    <r>
      <rPr>
        <b/>
        <sz val="10"/>
        <rFont val="Avenir Light"/>
        <family val="2"/>
      </rPr>
      <t>A munkalap tetszőlegesen bővíthető, így lehetőségük van kódolás mellett pl. beszúrt oszlopban a tevékenységek valós megnevezésére is. 
A tevékenységek - eredmények bővebb részletezése megalapozottab, jobb minőségű munkaterv bemutatását teszi lehetővé.</t>
    </r>
  </si>
  <si>
    <t>A kategóriák és limitek csak e pályázattípusban benyújtott tervezeteknél érvényesek.</t>
  </si>
  <si>
    <t>A szerkeszthető cellák kitöltésénél NEM HASZNÁLHATÓ A MÁSOL - BEILLESZT (COPY - PAST) parancs / módszer, mert törölheti a sorban beírt és zárolt függvényeket!</t>
  </si>
  <si>
    <t>A fehér hátterű cellákat kell kitölteni: szöveg, szám vagy dátum formtumban.</t>
  </si>
  <si>
    <t>Figyelmeztető üzenetet kapunk, ha kitöltés után a tervezett támogatási igény túllépné a limitet, vagy nem tartjuk be a részlteknél 2021.03.01-2023.08.31. keretidőt.</t>
  </si>
  <si>
    <t>A 2020-es évben a webForm mellékleteként nem kötelező a korábbi 'Timeline" formában munkatervet benyújtani. Az online űrlap azonban csak a tevékenységek / szellemi termékek időrendbe állítását végzi.
Ez nem teszi lehetővé  a tervezés szakaszában a partnerekkel történő egyeztetést a szükséges feladatok megosztásról időbeni ütemezéséről, feladatok összefüggéseihez nem nyújt támpontot. Nem támogatja kellőképpen sem a pályázat bírálatát, sem pedig nyertes projekt esetén a megvalósítást, a partnerekkel történő szerződéskötést.</t>
  </si>
  <si>
    <r>
      <rPr>
        <b/>
        <sz val="10"/>
        <rFont val="Avenir Light"/>
        <family val="2"/>
      </rPr>
      <t>A fájl 'Munkaterv-Gantt' lapja alapvető struktúrát tartalmaz, de igény szerint szabadon szerkeszthető!</t>
    </r>
    <r>
      <rPr>
        <sz val="10"/>
        <rFont val="Avenir Light"/>
        <family val="2"/>
      </rPr>
      <t xml:space="preserve">
Javasoljuk, hogy a tervezett projekt tartalmának leginkább megfelelő felosztásban készítsenek kellően részletes áttekintés, ami a partnerekkel olyan tervezést - megallapodást tesz lehetővé, amit a pályázat pozitív elbírálása esetén a patnerszerződésbe is könnyen bele tudnak foglalni (ha terveznek ilyet).</t>
    </r>
  </si>
  <si>
    <r>
      <t xml:space="preserve">Ez az Excel fájl  2020. évi 2. felhívás szabályai alapján számolja a támogatási igényt olyan felosztásban,  amilyenben a pénzügyi részt a  pályázati űrlapban is ki kell tölteni
</t>
    </r>
    <r>
      <rPr>
        <b/>
        <sz val="14"/>
        <color rgb="FFDD0806"/>
        <rFont val="Avenir Light"/>
        <family val="2"/>
      </rPr>
      <t xml:space="preserve">az </t>
    </r>
    <r>
      <rPr>
        <b/>
        <shadow/>
        <u/>
        <sz val="14"/>
        <color rgb="FFDD0806"/>
        <rFont val="Avenir Light"/>
        <family val="2"/>
      </rPr>
      <t>Eramus+  stratégiai partnerségek felsőoktatási szektorban</t>
    </r>
    <r>
      <rPr>
        <b/>
        <shadow/>
        <sz val="14"/>
        <color rgb="FFDD0806"/>
        <rFont val="Avenir Light"/>
        <family val="2"/>
      </rPr>
      <t xml:space="preserve"> benyújtandó tervezeteihez: 
</t>
    </r>
    <r>
      <rPr>
        <b/>
        <shadow/>
        <sz val="14"/>
        <color rgb="FFDD0806"/>
        <rFont val="Avenir Light"/>
        <charset val="238"/>
      </rPr>
      <t>(</t>
    </r>
    <r>
      <rPr>
        <b/>
        <shadow/>
        <sz val="14"/>
        <color rgb="FFDD0806"/>
        <rFont val="Avenir Light"/>
        <family val="2"/>
      </rPr>
      <t>KA226 - HED: A digitális oktatásra való felkészültséget támogató partnerségek).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</si>
</sst>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 [$€-1]"/>
    <numFmt numFmtId="165" formatCode="yyyy/\ mmm/"/>
    <numFmt numFmtId="166" formatCode="yyyy/\ m/\ d\.;@"/>
  </numFmts>
  <fonts count="68">
    <font>
      <sz val="10"/>
      <name val="Arial"/>
    </font>
    <font>
      <sz val="11"/>
      <color indexed="8"/>
      <name val="Calibri"/>
      <family val="2"/>
      <charset val="238"/>
    </font>
    <font>
      <b/>
      <sz val="10"/>
      <name val="Arial Narrow"/>
      <family val="2"/>
    </font>
    <font>
      <sz val="12"/>
      <name val="Arial Narrow"/>
      <family val="2"/>
    </font>
    <font>
      <sz val="10"/>
      <name val="Arial Narrow"/>
      <family val="2"/>
    </font>
    <font>
      <b/>
      <sz val="12"/>
      <name val="Arial Narrow"/>
      <family val="2"/>
    </font>
    <font>
      <u/>
      <sz val="10"/>
      <color indexed="12"/>
      <name val="Arial"/>
      <family val="2"/>
    </font>
    <font>
      <sz val="8"/>
      <name val="Arial"/>
      <family val="2"/>
    </font>
    <font>
      <u/>
      <sz val="10"/>
      <color indexed="12"/>
      <name val="Arial Narrow"/>
      <family val="2"/>
    </font>
    <font>
      <b/>
      <sz val="8"/>
      <name val="Arial Narrow"/>
      <family val="2"/>
    </font>
    <font>
      <b/>
      <sz val="10"/>
      <name val="Arial"/>
      <family val="2"/>
    </font>
    <font>
      <i/>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0"/>
      <name val="Calibri"/>
      <family val="2"/>
    </font>
    <font>
      <b/>
      <sz val="12"/>
      <color indexed="53"/>
      <name val="Arial Narrow"/>
      <family val="2"/>
      <charset val="238"/>
    </font>
    <font>
      <sz val="10"/>
      <color indexed="10"/>
      <name val="Arial"/>
      <family val="2"/>
      <charset val="238"/>
    </font>
    <font>
      <b/>
      <sz val="10"/>
      <color indexed="10"/>
      <name val="Arial"/>
      <family val="2"/>
      <charset val="238"/>
    </font>
    <font>
      <b/>
      <sz val="12"/>
      <color indexed="10"/>
      <name val="Arial Narrow"/>
      <family val="2"/>
      <charset val="238"/>
    </font>
    <font>
      <b/>
      <sz val="10"/>
      <color indexed="10"/>
      <name val="Arial Narrow"/>
      <family val="2"/>
    </font>
    <font>
      <sz val="10"/>
      <color indexed="8"/>
      <name val="Arial Narrow"/>
      <family val="2"/>
      <charset val="238"/>
    </font>
    <font>
      <b/>
      <sz val="10"/>
      <color indexed="8"/>
      <name val="Arial Narrow"/>
      <family val="2"/>
      <charset val="238"/>
    </font>
    <font>
      <sz val="10"/>
      <name val="Arial"/>
      <family val="2"/>
      <charset val="238"/>
    </font>
    <font>
      <sz val="12"/>
      <name val="Arial Narrow"/>
      <family val="2"/>
      <charset val="238"/>
    </font>
    <font>
      <sz val="12"/>
      <color indexed="8"/>
      <name val="Arial Narrow"/>
      <family val="2"/>
      <charset val="238"/>
    </font>
    <font>
      <b/>
      <sz val="10"/>
      <name val="Arial"/>
      <family val="2"/>
      <charset val="238"/>
    </font>
    <font>
      <b/>
      <sz val="12"/>
      <name val="Arial Narrow"/>
      <family val="2"/>
      <charset val="238"/>
    </font>
    <font>
      <sz val="10"/>
      <name val="Arial Narrow"/>
      <family val="2"/>
      <charset val="238"/>
    </font>
    <font>
      <b/>
      <sz val="10"/>
      <name val="Arial Narrow"/>
      <family val="2"/>
      <charset val="238"/>
    </font>
    <font>
      <sz val="10"/>
      <color indexed="8"/>
      <name val="Arial"/>
      <family val="2"/>
      <charset val="238"/>
    </font>
    <font>
      <sz val="10"/>
      <color indexed="8"/>
      <name val="Arial Narrow"/>
      <family val="2"/>
    </font>
    <font>
      <u/>
      <sz val="10"/>
      <color indexed="12"/>
      <name val="Arial"/>
      <family val="2"/>
      <charset val="238"/>
    </font>
    <font>
      <sz val="10"/>
      <name val="Avenir Light"/>
      <family val="2"/>
    </font>
    <font>
      <b/>
      <sz val="11"/>
      <color indexed="8"/>
      <name val="Calibri"/>
      <family val="2"/>
    </font>
    <font>
      <sz val="11"/>
      <color indexed="10"/>
      <name val="Calibri"/>
      <family val="2"/>
    </font>
    <font>
      <i/>
      <sz val="11"/>
      <color indexed="8"/>
      <name val="Calibri"/>
      <family val="2"/>
    </font>
    <font>
      <sz val="10"/>
      <name val="Arial"/>
      <family val="2"/>
    </font>
    <font>
      <sz val="11"/>
      <color theme="1"/>
      <name val="Calibri"/>
      <family val="2"/>
      <scheme val="minor"/>
    </font>
    <font>
      <b/>
      <sz val="10"/>
      <color rgb="FFFF0000"/>
      <name val="Arial Narrow"/>
      <family val="2"/>
      <charset val="238"/>
    </font>
    <font>
      <sz val="8"/>
      <color indexed="81"/>
      <name val="Tahoma"/>
      <family val="2"/>
      <charset val="238"/>
    </font>
    <font>
      <b/>
      <sz val="12"/>
      <color indexed="18"/>
      <name val="Arial Narrow"/>
      <family val="2"/>
      <charset val="238"/>
    </font>
    <font>
      <sz val="11"/>
      <name val="Arial Narrow"/>
      <family val="2"/>
      <charset val="238"/>
    </font>
    <font>
      <b/>
      <sz val="12"/>
      <color rgb="FFFF0000"/>
      <name val="Arial Narrow"/>
      <family val="2"/>
      <charset val="238"/>
    </font>
    <font>
      <sz val="12"/>
      <name val="Avenir Light"/>
      <family val="2"/>
    </font>
    <font>
      <b/>
      <sz val="12"/>
      <color indexed="10"/>
      <name val="Avenir Light"/>
      <family val="2"/>
    </font>
    <font>
      <sz val="10"/>
      <name val="Avenir Light"/>
      <family val="2"/>
    </font>
    <font>
      <b/>
      <sz val="10"/>
      <name val="Avenir Light"/>
      <family val="2"/>
    </font>
    <font>
      <b/>
      <sz val="10"/>
      <color rgb="FF00B050"/>
      <name val="Avenir Light"/>
      <family val="2"/>
    </font>
    <font>
      <sz val="10"/>
      <color rgb="FF00B050"/>
      <name val="Avenir Light"/>
      <family val="2"/>
    </font>
    <font>
      <b/>
      <sz val="10"/>
      <color rgb="FFFF0000"/>
      <name val="Avenir Light"/>
      <family val="2"/>
    </font>
    <font>
      <u/>
      <sz val="10"/>
      <name val="Avenir Light"/>
      <family val="2"/>
    </font>
    <font>
      <b/>
      <i/>
      <sz val="10"/>
      <name val="Avenir Light"/>
      <family val="2"/>
    </font>
    <font>
      <b/>
      <i/>
      <sz val="10"/>
      <color indexed="10"/>
      <name val="Avenir Light"/>
      <family val="2"/>
    </font>
    <font>
      <u/>
      <sz val="10"/>
      <color indexed="12"/>
      <name val="Avenir Light"/>
      <family val="2"/>
    </font>
    <font>
      <b/>
      <u/>
      <sz val="12"/>
      <name val="Avenir Light"/>
      <family val="2"/>
    </font>
    <font>
      <sz val="12"/>
      <name val="Avenir Light"/>
      <family val="2"/>
    </font>
    <font>
      <b/>
      <sz val="11"/>
      <color theme="1"/>
      <name val="Calibri"/>
      <family val="2"/>
      <charset val="238"/>
      <scheme val="minor"/>
    </font>
    <font>
      <sz val="10"/>
      <name val="Avenir Light"/>
      <family val="2"/>
    </font>
    <font>
      <b/>
      <sz val="14"/>
      <color rgb="FFFF0000"/>
      <name val="Avenir Light"/>
      <family val="2"/>
    </font>
    <font>
      <b/>
      <sz val="12"/>
      <color rgb="FFFF0000"/>
      <name val="Avenir Light"/>
      <family val="2"/>
    </font>
    <font>
      <b/>
      <sz val="14"/>
      <color rgb="FFDD0806"/>
      <name val="Avenir Light"/>
      <family val="2"/>
    </font>
    <font>
      <b/>
      <shadow/>
      <u/>
      <sz val="14"/>
      <color rgb="FFDD0806"/>
      <name val="Avenir Light"/>
      <family val="2"/>
    </font>
    <font>
      <b/>
      <shadow/>
      <sz val="14"/>
      <color rgb="FFDD0806"/>
      <name val="Avenir Light"/>
      <family val="2"/>
    </font>
    <font>
      <b/>
      <shadow/>
      <sz val="14"/>
      <color rgb="FFDD0806"/>
      <name val="Avenir Light"/>
      <charset val="238"/>
    </font>
  </fonts>
  <fills count="31">
    <fill>
      <patternFill patternType="none"/>
    </fill>
    <fill>
      <patternFill patternType="gray125"/>
    </fill>
    <fill>
      <patternFill patternType="solid">
        <fgColor indexed="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22"/>
        <bgColor indexed="64"/>
      </patternFill>
    </fill>
    <fill>
      <patternFill patternType="solid">
        <fgColor indexed="22"/>
        <bgColor indexed="8"/>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7"/>
        <bgColor indexed="8"/>
      </patternFill>
    </fill>
    <fill>
      <patternFill patternType="solid">
        <fgColor indexed="8"/>
        <bgColor indexed="64"/>
      </patternFill>
    </fill>
    <fill>
      <patternFill patternType="solid">
        <fgColor indexed="34"/>
        <bgColor indexed="64"/>
      </patternFill>
    </fill>
    <fill>
      <patternFill patternType="solid">
        <fgColor rgb="FFFFCC99"/>
        <bgColor indexed="64"/>
      </patternFill>
    </fill>
    <fill>
      <patternFill patternType="solid">
        <fgColor rgb="FFFFFF00"/>
        <bgColor indexed="64"/>
      </patternFill>
    </fill>
    <fill>
      <patternFill patternType="solid">
        <fgColor rgb="FF92D050"/>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0000"/>
        <bgColor indexed="64"/>
      </patternFill>
    </fill>
    <fill>
      <patternFill patternType="solid">
        <fgColor theme="0" tint="-0.499984740745262"/>
        <bgColor indexed="64"/>
      </patternFill>
    </fill>
  </fills>
  <borders count="11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top style="thin">
        <color auto="1"/>
      </top>
      <bottom style="thin">
        <color auto="1"/>
      </bottom>
      <diagonal/>
    </border>
    <border>
      <left/>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style="thin">
        <color indexed="10"/>
      </top>
      <bottom style="thin">
        <color indexed="10"/>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top/>
      <bottom/>
      <diagonal/>
    </border>
    <border>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medium">
        <color auto="1"/>
      </right>
      <top style="medium">
        <color auto="1"/>
      </top>
      <bottom style="medium">
        <color auto="1"/>
      </bottom>
      <diagonal/>
    </border>
    <border>
      <left/>
      <right/>
      <top style="medium">
        <color auto="1"/>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bottom style="thin">
        <color auto="1"/>
      </bottom>
      <diagonal/>
    </border>
    <border>
      <left style="thin">
        <color indexed="9"/>
      </left>
      <right style="thin">
        <color indexed="9"/>
      </right>
      <top style="thin">
        <color indexed="9"/>
      </top>
      <bottom style="thin">
        <color indexed="9"/>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diagonal/>
    </border>
    <border>
      <left style="medium">
        <color auto="1"/>
      </left>
      <right/>
      <top style="medium">
        <color auto="1"/>
      </top>
      <bottom style="medium">
        <color auto="1"/>
      </bottom>
      <diagonal/>
    </border>
    <border>
      <left style="thin">
        <color auto="1"/>
      </left>
      <right style="medium">
        <color auto="1"/>
      </right>
      <top style="thin">
        <color auto="1"/>
      </top>
      <bottom/>
      <diagonal/>
    </border>
    <border>
      <left/>
      <right style="medium">
        <color auto="1"/>
      </right>
      <top/>
      <bottom style="medium">
        <color auto="1"/>
      </bottom>
      <diagonal/>
    </border>
    <border>
      <left/>
      <right/>
      <top/>
      <bottom style="medium">
        <color auto="1"/>
      </bottom>
      <diagonal/>
    </border>
    <border>
      <left/>
      <right/>
      <top style="medium">
        <color auto="1"/>
      </top>
      <bottom/>
      <diagonal/>
    </border>
    <border>
      <left style="thin">
        <color auto="1"/>
      </left>
      <right style="thin">
        <color auto="1"/>
      </right>
      <top/>
      <bottom style="thin">
        <color auto="1"/>
      </bottom>
      <diagonal/>
    </border>
    <border>
      <left style="medium">
        <color auto="1"/>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diagonal/>
    </border>
    <border>
      <left style="medium">
        <color auto="1"/>
      </left>
      <right style="medium">
        <color indexed="10"/>
      </right>
      <top style="medium">
        <color auto="1"/>
      </top>
      <bottom style="medium">
        <color auto="1"/>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style="medium">
        <color auto="1"/>
      </left>
      <right style="medium">
        <color auto="1"/>
      </right>
      <top/>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indexed="64"/>
      </top>
      <bottom style="medium">
        <color indexed="64"/>
      </bottom>
      <diagonal/>
    </border>
    <border>
      <left/>
      <right style="thin">
        <color auto="1"/>
      </right>
      <top style="medium">
        <color auto="1"/>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auto="1"/>
      </left>
      <right style="medium">
        <color indexed="64"/>
      </right>
      <top style="medium">
        <color indexed="64"/>
      </top>
      <bottom style="medium">
        <color auto="1"/>
      </bottom>
      <diagonal/>
    </border>
    <border>
      <left style="thin">
        <color indexed="9"/>
      </left>
      <right/>
      <top style="thin">
        <color indexed="9"/>
      </top>
      <bottom/>
      <diagonal/>
    </border>
    <border>
      <left/>
      <right/>
      <top style="thin">
        <color indexed="9"/>
      </top>
      <bottom/>
      <diagonal/>
    </border>
    <border>
      <left/>
      <right style="thin">
        <color indexed="9"/>
      </right>
      <top style="thin">
        <color indexed="9"/>
      </top>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style="medium">
        <color auto="1"/>
      </left>
      <right/>
      <top style="medium">
        <color auto="1"/>
      </top>
      <bottom style="medium">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indexed="10"/>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s>
  <cellStyleXfs count="16">
    <xf numFmtId="0" fontId="0" fillId="0" borderId="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4" borderId="0" applyNumberFormat="0" applyBorder="0" applyAlignment="0" applyProtection="0"/>
    <xf numFmtId="0" fontId="12" fillId="8" borderId="0" applyNumberFormat="0" applyBorder="0" applyAlignment="0" applyProtection="0"/>
    <xf numFmtId="0" fontId="13" fillId="9" borderId="0" applyNumberFormat="0" applyBorder="0" applyAlignment="0" applyProtection="0"/>
    <xf numFmtId="0" fontId="14" fillId="2" borderId="1" applyNumberFormat="0" applyAlignment="0" applyProtection="0"/>
    <xf numFmtId="0" fontId="15" fillId="10" borderId="2" applyNumberFormat="0" applyAlignment="0" applyProtection="0"/>
    <xf numFmtId="0" fontId="16" fillId="0" borderId="0" applyNumberFormat="0" applyFill="0" applyBorder="0" applyAlignment="0" applyProtection="0"/>
    <xf numFmtId="0" fontId="17" fillId="11" borderId="0" applyNumberFormat="0" applyBorder="0" applyAlignment="0" applyProtection="0"/>
    <xf numFmtId="0" fontId="6" fillId="0" borderId="0" applyNumberFormat="0" applyFill="0" applyBorder="0" applyAlignment="0" applyProtection="0">
      <alignment vertical="top"/>
      <protection locked="0"/>
    </xf>
    <xf numFmtId="0" fontId="18" fillId="3" borderId="0" applyNumberFormat="0" applyBorder="0" applyAlignment="0" applyProtection="0"/>
    <xf numFmtId="0" fontId="41" fillId="0" borderId="0"/>
    <xf numFmtId="0" fontId="26" fillId="0" borderId="0"/>
  </cellStyleXfs>
  <cellXfs count="661">
    <xf numFmtId="0" fontId="0" fillId="0" borderId="0" xfId="0"/>
    <xf numFmtId="0" fontId="30" fillId="0" borderId="0" xfId="0" applyFont="1" applyAlignment="1">
      <alignment vertical="center"/>
    </xf>
    <xf numFmtId="0" fontId="11" fillId="0" borderId="0" xfId="0" applyFont="1" applyAlignment="1" applyProtection="1">
      <alignment vertical="center"/>
      <protection hidden="1"/>
    </xf>
    <xf numFmtId="0" fontId="0" fillId="0" borderId="0" xfId="0" applyProtection="1">
      <protection hidden="1"/>
    </xf>
    <xf numFmtId="0" fontId="10" fillId="0" borderId="0" xfId="0" applyFont="1" applyBorder="1" applyAlignment="1" applyProtection="1">
      <alignment vertical="center"/>
      <protection hidden="1"/>
    </xf>
    <xf numFmtId="0" fontId="4" fillId="0" borderId="0" xfId="0" applyFont="1" applyFill="1" applyBorder="1" applyProtection="1">
      <protection hidden="1"/>
    </xf>
    <xf numFmtId="0" fontId="4" fillId="0" borderId="0" xfId="0" applyFont="1" applyFill="1" applyBorder="1" applyAlignment="1" applyProtection="1">
      <alignment horizontal="left"/>
      <protection hidden="1"/>
    </xf>
    <xf numFmtId="0" fontId="26" fillId="12" borderId="28" xfId="0" applyFont="1" applyFill="1" applyBorder="1" applyAlignment="1" applyProtection="1">
      <protection hidden="1"/>
    </xf>
    <xf numFmtId="3" fontId="29" fillId="13" borderId="28" xfId="0" applyNumberFormat="1" applyFont="1" applyFill="1" applyBorder="1" applyAlignment="1" applyProtection="1">
      <alignment vertical="center"/>
      <protection hidden="1"/>
    </xf>
    <xf numFmtId="3" fontId="21" fillId="0" borderId="0" xfId="0" applyNumberFormat="1" applyFont="1" applyAlignment="1" applyProtection="1">
      <alignment vertical="center"/>
      <protection hidden="1"/>
    </xf>
    <xf numFmtId="0" fontId="26" fillId="0" borderId="0" xfId="0" applyFont="1" applyProtection="1">
      <protection hidden="1"/>
    </xf>
    <xf numFmtId="0" fontId="26" fillId="14" borderId="9" xfId="0" applyFont="1" applyFill="1" applyBorder="1" applyAlignment="1" applyProtection="1">
      <alignment vertical="top" wrapText="1"/>
      <protection locked="0" hidden="1"/>
    </xf>
    <xf numFmtId="0" fontId="26" fillId="14" borderId="10" xfId="0" applyFont="1" applyFill="1" applyBorder="1" applyAlignment="1" applyProtection="1">
      <alignment vertical="top" wrapText="1"/>
      <protection locked="0" hidden="1"/>
    </xf>
    <xf numFmtId="0" fontId="8" fillId="0" borderId="0" xfId="12" applyFont="1" applyFill="1" applyBorder="1" applyAlignment="1" applyProtection="1">
      <alignment horizontal="left"/>
      <protection hidden="1"/>
    </xf>
    <xf numFmtId="0" fontId="4" fillId="0" borderId="0" xfId="0" applyFont="1" applyFill="1" applyBorder="1" applyAlignment="1" applyProtection="1">
      <protection hidden="1"/>
    </xf>
    <xf numFmtId="3" fontId="26" fillId="15" borderId="4" xfId="0" applyNumberFormat="1" applyFont="1" applyFill="1" applyBorder="1" applyProtection="1">
      <protection hidden="1"/>
    </xf>
    <xf numFmtId="3" fontId="26" fillId="15" borderId="3" xfId="0" applyNumberFormat="1" applyFont="1" applyFill="1" applyBorder="1" applyProtection="1">
      <protection hidden="1"/>
    </xf>
    <xf numFmtId="0" fontId="29" fillId="15" borderId="29" xfId="0" applyNumberFormat="1" applyFont="1" applyFill="1" applyBorder="1" applyAlignment="1" applyProtection="1">
      <alignment vertical="center" wrapText="1"/>
      <protection hidden="1"/>
    </xf>
    <xf numFmtId="0" fontId="29" fillId="14" borderId="20" xfId="0" applyFont="1" applyFill="1" applyBorder="1" applyAlignment="1" applyProtection="1">
      <alignment horizontal="left"/>
      <protection locked="0" hidden="1"/>
    </xf>
    <xf numFmtId="0" fontId="26" fillId="15" borderId="20" xfId="0" applyFont="1" applyFill="1" applyBorder="1" applyProtection="1">
      <protection hidden="1"/>
    </xf>
    <xf numFmtId="49" fontId="26" fillId="14" borderId="20" xfId="0" applyNumberFormat="1" applyFont="1" applyFill="1" applyBorder="1" applyProtection="1">
      <protection locked="0" hidden="1"/>
    </xf>
    <xf numFmtId="0" fontId="26" fillId="15" borderId="21" xfId="0" applyFont="1" applyFill="1" applyBorder="1" applyProtection="1">
      <protection hidden="1"/>
    </xf>
    <xf numFmtId="0" fontId="26" fillId="15" borderId="22" xfId="0" applyFont="1" applyFill="1" applyBorder="1" applyProtection="1">
      <protection hidden="1"/>
    </xf>
    <xf numFmtId="0" fontId="35" fillId="0" borderId="0" xfId="12" applyFont="1" applyFill="1" applyBorder="1" applyAlignment="1" applyProtection="1">
      <alignment horizontal="left"/>
      <protection hidden="1"/>
    </xf>
    <xf numFmtId="0" fontId="26" fillId="0" borderId="0" xfId="0" applyFont="1" applyFill="1" applyBorder="1" applyAlignment="1" applyProtection="1">
      <protection hidden="1"/>
    </xf>
    <xf numFmtId="0" fontId="26" fillId="0" borderId="0" xfId="0" applyFont="1" applyFill="1" applyBorder="1" applyAlignment="1" applyProtection="1">
      <alignment horizontal="center" vertical="center"/>
      <protection hidden="1"/>
    </xf>
    <xf numFmtId="1" fontId="26" fillId="0" borderId="0" xfId="0" applyNumberFormat="1" applyFont="1" applyFill="1" applyBorder="1" applyAlignment="1" applyProtection="1">
      <alignment horizontal="center" vertical="center"/>
      <protection hidden="1"/>
    </xf>
    <xf numFmtId="0" fontId="26" fillId="0" borderId="0" xfId="0" applyNumberFormat="1" applyFont="1" applyFill="1" applyBorder="1" applyAlignment="1" applyProtection="1">
      <alignment horizontal="center" vertical="center"/>
      <protection hidden="1"/>
    </xf>
    <xf numFmtId="49" fontId="26" fillId="0" borderId="0" xfId="0" applyNumberFormat="1" applyFont="1" applyFill="1" applyBorder="1" applyAlignment="1" applyProtection="1">
      <protection hidden="1"/>
    </xf>
    <xf numFmtId="0" fontId="26" fillId="0" borderId="0" xfId="0" applyFont="1" applyFill="1" applyBorder="1" applyAlignment="1" applyProtection="1">
      <alignment horizontal="left"/>
      <protection hidden="1"/>
    </xf>
    <xf numFmtId="0" fontId="24" fillId="0" borderId="0" xfId="0" applyFont="1" applyProtection="1">
      <protection hidden="1"/>
    </xf>
    <xf numFmtId="0" fontId="4" fillId="0" borderId="0" xfId="0" applyFont="1" applyProtection="1">
      <protection hidden="1"/>
    </xf>
    <xf numFmtId="0" fontId="4" fillId="0" borderId="0" xfId="0" applyFont="1" applyAlignment="1" applyProtection="1">
      <alignment horizontal="center"/>
      <protection hidden="1"/>
    </xf>
    <xf numFmtId="0" fontId="25" fillId="0" borderId="0" xfId="0" applyFont="1" applyAlignment="1" applyProtection="1">
      <alignment horizontal="center"/>
      <protection hidden="1"/>
    </xf>
    <xf numFmtId="0" fontId="2" fillId="0" borderId="0" xfId="0" applyFont="1" applyAlignment="1" applyProtection="1">
      <alignment horizontal="center"/>
      <protection hidden="1"/>
    </xf>
    <xf numFmtId="0" fontId="29" fillId="15" borderId="15" xfId="0" applyNumberFormat="1" applyFont="1" applyFill="1" applyBorder="1" applyAlignment="1" applyProtection="1">
      <alignment vertical="center" wrapText="1"/>
      <protection hidden="1"/>
    </xf>
    <xf numFmtId="0" fontId="29" fillId="15" borderId="14" xfId="0" applyNumberFormat="1" applyFont="1" applyFill="1" applyBorder="1" applyAlignment="1" applyProtection="1">
      <alignment vertical="center" wrapText="1"/>
      <protection hidden="1"/>
    </xf>
    <xf numFmtId="0" fontId="23" fillId="0" borderId="0" xfId="0" applyFont="1" applyAlignment="1" applyProtection="1">
      <alignment vertical="center" wrapText="1"/>
      <protection hidden="1"/>
    </xf>
    <xf numFmtId="0" fontId="26" fillId="15" borderId="15" xfId="0" applyFont="1" applyFill="1" applyBorder="1" applyProtection="1">
      <protection hidden="1"/>
    </xf>
    <xf numFmtId="0" fontId="26" fillId="15" borderId="16" xfId="0" applyFont="1" applyFill="1" applyBorder="1" applyProtection="1">
      <protection hidden="1"/>
    </xf>
    <xf numFmtId="0" fontId="33" fillId="0" borderId="0" xfId="0" applyFont="1" applyProtection="1">
      <protection hidden="1"/>
    </xf>
    <xf numFmtId="3" fontId="26" fillId="0" borderId="0" xfId="0" applyNumberFormat="1" applyFont="1" applyFill="1" applyBorder="1" applyAlignment="1" applyProtection="1">
      <alignment horizontal="center" vertical="center"/>
      <protection hidden="1"/>
    </xf>
    <xf numFmtId="0" fontId="26" fillId="0" borderId="0" xfId="0" applyNumberFormat="1" applyFont="1" applyFill="1" applyBorder="1" applyAlignment="1" applyProtection="1">
      <alignment vertical="center"/>
      <protection hidden="1"/>
    </xf>
    <xf numFmtId="0" fontId="23" fillId="0" borderId="31" xfId="0" applyFont="1" applyBorder="1" applyAlignment="1" applyProtection="1">
      <alignment vertical="center"/>
      <protection hidden="1"/>
    </xf>
    <xf numFmtId="0" fontId="5" fillId="0" borderId="0" xfId="0" applyFont="1" applyProtection="1">
      <protection hidden="1"/>
    </xf>
    <xf numFmtId="0" fontId="3" fillId="0" borderId="0" xfId="0" applyFont="1" applyProtection="1">
      <protection hidden="1"/>
    </xf>
    <xf numFmtId="0" fontId="5" fillId="0" borderId="0" xfId="0" applyFont="1" applyAlignment="1" applyProtection="1">
      <alignment horizontal="center"/>
      <protection hidden="1"/>
    </xf>
    <xf numFmtId="0" fontId="21" fillId="0" borderId="0" xfId="0" applyFont="1" applyProtection="1">
      <protection hidden="1"/>
    </xf>
    <xf numFmtId="0" fontId="2" fillId="0" borderId="0" xfId="0" applyFont="1" applyAlignment="1" applyProtection="1">
      <alignment horizontal="center" vertical="center"/>
      <protection hidden="1"/>
    </xf>
    <xf numFmtId="0" fontId="26" fillId="0" borderId="0" xfId="0" applyFont="1" applyAlignment="1" applyProtection="1">
      <alignment vertical="center"/>
      <protection hidden="1"/>
    </xf>
    <xf numFmtId="0" fontId="26" fillId="15" borderId="15" xfId="0" applyFont="1" applyFill="1" applyBorder="1" applyAlignment="1" applyProtection="1">
      <alignment vertical="center"/>
      <protection hidden="1"/>
    </xf>
    <xf numFmtId="0" fontId="26" fillId="15" borderId="16" xfId="0" applyFont="1" applyFill="1" applyBorder="1" applyAlignment="1" applyProtection="1">
      <alignment vertical="center"/>
      <protection hidden="1"/>
    </xf>
    <xf numFmtId="0" fontId="26" fillId="15" borderId="22" xfId="0" applyFont="1" applyFill="1" applyBorder="1" applyAlignment="1" applyProtection="1">
      <alignment vertical="center"/>
      <protection hidden="1"/>
    </xf>
    <xf numFmtId="0" fontId="26" fillId="0" borderId="0" xfId="0" applyFont="1" applyFill="1" applyBorder="1" applyAlignment="1" applyProtection="1">
      <alignment horizontal="left" vertical="center"/>
      <protection hidden="1"/>
    </xf>
    <xf numFmtId="0" fontId="26" fillId="0" borderId="0" xfId="0" applyFont="1" applyFill="1" applyBorder="1" applyAlignment="1" applyProtection="1">
      <alignment vertical="center"/>
      <protection hidden="1"/>
    </xf>
    <xf numFmtId="3" fontId="26" fillId="0" borderId="0" xfId="0" applyNumberFormat="1" applyFont="1" applyFill="1" applyBorder="1" applyAlignment="1" applyProtection="1">
      <alignment vertical="center"/>
      <protection hidden="1"/>
    </xf>
    <xf numFmtId="49" fontId="26" fillId="0" borderId="0" xfId="0" applyNumberFormat="1" applyFont="1" applyFill="1" applyBorder="1" applyAlignment="1" applyProtection="1">
      <alignment vertical="center"/>
      <protection hidden="1"/>
    </xf>
    <xf numFmtId="49" fontId="26" fillId="14" borderId="20" xfId="0" applyNumberFormat="1" applyFont="1" applyFill="1" applyBorder="1" applyAlignment="1" applyProtection="1">
      <alignment vertical="center"/>
      <protection locked="0" hidden="1"/>
    </xf>
    <xf numFmtId="49" fontId="26" fillId="14" borderId="21" xfId="0" applyNumberFormat="1" applyFont="1" applyFill="1" applyBorder="1" applyAlignment="1" applyProtection="1">
      <alignment vertical="center"/>
      <protection locked="0" hidden="1"/>
    </xf>
    <xf numFmtId="49" fontId="26" fillId="14" borderId="22" xfId="0" applyNumberFormat="1" applyFont="1" applyFill="1" applyBorder="1" applyAlignment="1" applyProtection="1">
      <alignment vertical="center"/>
      <protection locked="0" hidden="1"/>
    </xf>
    <xf numFmtId="0" fontId="4" fillId="0" borderId="0" xfId="0" applyFont="1" applyFill="1" applyProtection="1">
      <protection hidden="1"/>
    </xf>
    <xf numFmtId="0" fontId="2" fillId="0" borderId="0" xfId="0" applyFont="1" applyFill="1" applyBorder="1" applyAlignment="1" applyProtection="1">
      <alignment horizontal="center" vertical="center"/>
      <protection hidden="1"/>
    </xf>
    <xf numFmtId="0" fontId="2" fillId="0" borderId="0" xfId="0" applyFont="1" applyFill="1" applyBorder="1" applyAlignment="1" applyProtection="1">
      <alignment horizontal="center" vertical="center" wrapText="1"/>
      <protection hidden="1"/>
    </xf>
    <xf numFmtId="3" fontId="23" fillId="0" borderId="0" xfId="0" applyNumberFormat="1" applyFont="1" applyFill="1" applyBorder="1" applyAlignment="1" applyProtection="1">
      <alignment vertical="center"/>
      <protection hidden="1"/>
    </xf>
    <xf numFmtId="0" fontId="4" fillId="0" borderId="0" xfId="0" applyFont="1" applyAlignment="1" applyProtection="1">
      <protection hidden="1"/>
    </xf>
    <xf numFmtId="3" fontId="29" fillId="15" borderId="20" xfId="0" applyNumberFormat="1" applyFont="1" applyFill="1" applyBorder="1" applyAlignment="1" applyProtection="1">
      <alignment vertical="center" wrapText="1"/>
      <protection hidden="1"/>
    </xf>
    <xf numFmtId="3" fontId="26" fillId="15" borderId="30" xfId="0" applyNumberFormat="1" applyFont="1" applyFill="1" applyBorder="1" applyAlignment="1" applyProtection="1">
      <alignment vertical="center" wrapText="1"/>
      <protection hidden="1"/>
    </xf>
    <xf numFmtId="3" fontId="26" fillId="15" borderId="30" xfId="0" applyNumberFormat="1" applyFont="1" applyFill="1" applyBorder="1" applyAlignment="1" applyProtection="1">
      <alignment vertical="center"/>
      <protection hidden="1"/>
    </xf>
    <xf numFmtId="3" fontId="26" fillId="17" borderId="32" xfId="0" applyNumberFormat="1" applyFont="1" applyFill="1" applyBorder="1" applyAlignment="1" applyProtection="1">
      <alignment vertical="center"/>
      <protection hidden="1"/>
    </xf>
    <xf numFmtId="1" fontId="4" fillId="0" borderId="0" xfId="0" applyNumberFormat="1" applyFont="1" applyFill="1" applyBorder="1" applyAlignment="1" applyProtection="1">
      <alignment vertical="center"/>
      <protection hidden="1"/>
    </xf>
    <xf numFmtId="3" fontId="29" fillId="15" borderId="30" xfId="0" applyNumberFormat="1" applyFont="1" applyFill="1" applyBorder="1" applyAlignment="1" applyProtection="1">
      <alignment vertical="center" wrapText="1"/>
      <protection hidden="1"/>
    </xf>
    <xf numFmtId="3" fontId="26" fillId="15" borderId="21" xfId="0" applyNumberFormat="1" applyFont="1" applyFill="1" applyBorder="1" applyAlignment="1" applyProtection="1">
      <alignment vertical="center" wrapText="1"/>
      <protection hidden="1"/>
    </xf>
    <xf numFmtId="3" fontId="26" fillId="15" borderId="21" xfId="0" applyNumberFormat="1" applyFont="1" applyFill="1" applyBorder="1" applyAlignment="1" applyProtection="1">
      <alignment vertical="center"/>
      <protection hidden="1"/>
    </xf>
    <xf numFmtId="3" fontId="26" fillId="17" borderId="16" xfId="0" applyNumberFormat="1" applyFont="1" applyFill="1" applyBorder="1" applyAlignment="1" applyProtection="1">
      <alignment vertical="center"/>
      <protection hidden="1"/>
    </xf>
    <xf numFmtId="3" fontId="29" fillId="15" borderId="33" xfId="0" applyNumberFormat="1" applyFont="1" applyFill="1" applyBorder="1" applyAlignment="1" applyProtection="1">
      <alignment vertical="center" wrapText="1"/>
      <protection hidden="1"/>
    </xf>
    <xf numFmtId="3" fontId="26" fillId="15" borderId="22" xfId="0" applyNumberFormat="1" applyFont="1" applyFill="1" applyBorder="1" applyAlignment="1" applyProtection="1">
      <alignment vertical="center" wrapText="1"/>
      <protection hidden="1"/>
    </xf>
    <xf numFmtId="3" fontId="26" fillId="15" borderId="22" xfId="0" applyNumberFormat="1" applyFont="1" applyFill="1" applyBorder="1" applyAlignment="1" applyProtection="1">
      <alignment vertical="center"/>
      <protection hidden="1"/>
    </xf>
    <xf numFmtId="3" fontId="26" fillId="17" borderId="17" xfId="0" applyNumberFormat="1" applyFont="1" applyFill="1" applyBorder="1" applyAlignment="1" applyProtection="1">
      <alignment vertical="center"/>
      <protection hidden="1"/>
    </xf>
    <xf numFmtId="0" fontId="4" fillId="0" borderId="0" xfId="0" applyFont="1" applyAlignment="1" applyProtection="1">
      <alignment horizontal="left"/>
      <protection hidden="1"/>
    </xf>
    <xf numFmtId="0" fontId="2" fillId="0" borderId="33" xfId="0" applyFont="1" applyBorder="1" applyAlignment="1" applyProtection="1">
      <alignment horizontal="center" vertical="center"/>
      <protection hidden="1"/>
    </xf>
    <xf numFmtId="49" fontId="26" fillId="14" borderId="11" xfId="0" applyNumberFormat="1" applyFont="1" applyFill="1" applyBorder="1" applyAlignment="1" applyProtection="1">
      <alignment vertical="center"/>
      <protection locked="0" hidden="1"/>
    </xf>
    <xf numFmtId="49" fontId="26" fillId="14" borderId="7" xfId="0" applyNumberFormat="1" applyFont="1" applyFill="1" applyBorder="1" applyAlignment="1" applyProtection="1">
      <alignment vertical="center"/>
      <protection locked="0" hidden="1"/>
    </xf>
    <xf numFmtId="49" fontId="26" fillId="14" borderId="8" xfId="0" applyNumberFormat="1" applyFont="1" applyFill="1" applyBorder="1" applyAlignment="1" applyProtection="1">
      <alignment vertical="center"/>
      <protection locked="0" hidden="1"/>
    </xf>
    <xf numFmtId="0" fontId="10" fillId="0" borderId="27" xfId="0" applyFont="1" applyFill="1" applyBorder="1" applyAlignment="1" applyProtection="1">
      <alignment horizontal="left"/>
      <protection locked="0"/>
    </xf>
    <xf numFmtId="0" fontId="37" fillId="0" borderId="0" xfId="14" applyFont="1"/>
    <xf numFmtId="0" fontId="41" fillId="0" borderId="0" xfId="14"/>
    <xf numFmtId="0" fontId="41" fillId="0" borderId="44" xfId="14" applyBorder="1"/>
    <xf numFmtId="0" fontId="37" fillId="0" borderId="4" xfId="14" applyFont="1" applyFill="1" applyBorder="1"/>
    <xf numFmtId="0" fontId="38" fillId="18" borderId="0" xfId="14" applyFont="1" applyFill="1"/>
    <xf numFmtId="0" fontId="41" fillId="18" borderId="0" xfId="14" applyFill="1"/>
    <xf numFmtId="0" fontId="41" fillId="18" borderId="45" xfId="14" applyFill="1" applyBorder="1"/>
    <xf numFmtId="0" fontId="39" fillId="0" borderId="0" xfId="14" applyFont="1"/>
    <xf numFmtId="0" fontId="34"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26" fillId="15" borderId="15" xfId="0" applyNumberFormat="1" applyFont="1" applyFill="1" applyBorder="1" applyAlignment="1" applyProtection="1">
      <alignment vertical="center"/>
      <protection hidden="1"/>
    </xf>
    <xf numFmtId="0" fontId="26" fillId="15" borderId="16" xfId="0" applyNumberFormat="1" applyFont="1" applyFill="1" applyBorder="1" applyAlignment="1" applyProtection="1">
      <alignment vertical="center"/>
      <protection hidden="1"/>
    </xf>
    <xf numFmtId="0" fontId="26" fillId="15" borderId="17" xfId="0" applyNumberFormat="1" applyFont="1" applyFill="1" applyBorder="1" applyAlignment="1" applyProtection="1">
      <alignment vertical="center"/>
      <protection hidden="1"/>
    </xf>
    <xf numFmtId="0" fontId="10" fillId="0" borderId="0" xfId="0" applyFont="1" applyAlignment="1" applyProtection="1">
      <alignment vertical="center"/>
    </xf>
    <xf numFmtId="0" fontId="11" fillId="0" borderId="0" xfId="0" applyFont="1" applyAlignment="1" applyProtection="1">
      <alignment vertical="center"/>
    </xf>
    <xf numFmtId="0" fontId="5" fillId="0" borderId="0" xfId="0" applyFont="1" applyFill="1" applyBorder="1" applyAlignment="1" applyProtection="1">
      <alignment horizontal="left" vertical="top"/>
    </xf>
    <xf numFmtId="0" fontId="5" fillId="0" borderId="0" xfId="0" applyFont="1" applyFill="1" applyBorder="1" applyAlignment="1" applyProtection="1">
      <alignment vertical="top"/>
    </xf>
    <xf numFmtId="0" fontId="4" fillId="0" borderId="0" xfId="0" applyFont="1" applyFill="1" applyBorder="1" applyProtection="1"/>
    <xf numFmtId="0" fontId="0" fillId="0" borderId="0" xfId="0" applyProtection="1"/>
    <xf numFmtId="0" fontId="3" fillId="0" borderId="0" xfId="0" applyFont="1" applyFill="1" applyBorder="1" applyAlignment="1" applyProtection="1">
      <alignment horizontal="left" vertical="top"/>
    </xf>
    <xf numFmtId="0" fontId="3" fillId="0" borderId="0" xfId="0" applyFont="1" applyFill="1" applyBorder="1" applyAlignment="1" applyProtection="1">
      <alignment vertical="top" wrapText="1"/>
    </xf>
    <xf numFmtId="0" fontId="4" fillId="0" borderId="0" xfId="0" applyFont="1" applyFill="1" applyBorder="1" applyAlignment="1" applyProtection="1">
      <alignment horizontal="left"/>
    </xf>
    <xf numFmtId="0" fontId="8" fillId="0" borderId="0" xfId="12" applyFont="1" applyFill="1" applyBorder="1" applyAlignment="1" applyProtection="1"/>
    <xf numFmtId="0" fontId="2" fillId="0" borderId="53" xfId="0" applyFont="1" applyFill="1" applyBorder="1" applyAlignment="1" applyProtection="1">
      <alignment horizontal="center" vertical="center" wrapText="1"/>
    </xf>
    <xf numFmtId="0" fontId="32" fillId="0" borderId="54" xfId="0" applyFont="1" applyFill="1" applyBorder="1" applyAlignment="1" applyProtection="1">
      <alignment horizontal="center" vertical="center"/>
    </xf>
    <xf numFmtId="0" fontId="32" fillId="0" borderId="55" xfId="0" applyFont="1" applyFill="1" applyBorder="1" applyAlignment="1" applyProtection="1">
      <alignment horizontal="center" vertical="top" wrapText="1"/>
    </xf>
    <xf numFmtId="0" fontId="3" fillId="0" borderId="0" xfId="0" applyFont="1" applyFill="1" applyBorder="1" applyAlignment="1" applyProtection="1">
      <alignment horizontal="center" vertical="center" wrapText="1"/>
    </xf>
    <xf numFmtId="0" fontId="8" fillId="0" borderId="0" xfId="12" applyFont="1" applyFill="1" applyBorder="1" applyAlignment="1" applyProtection="1">
      <alignment horizontal="center" vertical="center"/>
    </xf>
    <xf numFmtId="0" fontId="9" fillId="0" borderId="0" xfId="0" applyFont="1" applyFill="1" applyBorder="1" applyAlignment="1" applyProtection="1">
      <alignment horizontal="left"/>
    </xf>
    <xf numFmtId="0" fontId="9" fillId="0" borderId="0" xfId="0" applyFont="1" applyFill="1" applyBorder="1" applyAlignment="1" applyProtection="1"/>
    <xf numFmtId="0" fontId="9" fillId="0" borderId="0" xfId="0" applyFont="1" applyFill="1" applyBorder="1" applyAlignment="1" applyProtection="1">
      <alignment horizontal="center" vertical="center"/>
    </xf>
    <xf numFmtId="1" fontId="9" fillId="0" borderId="0"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horizontal="center" vertical="center"/>
    </xf>
    <xf numFmtId="49" fontId="9" fillId="0" borderId="0" xfId="0" applyNumberFormat="1" applyFont="1" applyFill="1" applyBorder="1" applyAlignment="1" applyProtection="1"/>
    <xf numFmtId="49" fontId="2" fillId="0" borderId="54" xfId="0" applyNumberFormat="1" applyFont="1" applyFill="1" applyBorder="1" applyAlignment="1" applyProtection="1">
      <alignment horizontal="center" vertical="center" wrapText="1"/>
    </xf>
    <xf numFmtId="49" fontId="2" fillId="0" borderId="29" xfId="0" applyNumberFormat="1" applyFont="1" applyBorder="1" applyAlignment="1" applyProtection="1">
      <alignment horizontal="center" vertical="center" wrapText="1"/>
    </xf>
    <xf numFmtId="49" fontId="2" fillId="12" borderId="56" xfId="0" applyNumberFormat="1" applyFont="1" applyFill="1" applyBorder="1" applyAlignment="1" applyProtection="1">
      <alignment horizontal="center" vertical="center" wrapText="1"/>
    </xf>
    <xf numFmtId="49" fontId="2" fillId="12" borderId="28" xfId="0" applyNumberFormat="1" applyFont="1" applyFill="1" applyBorder="1" applyAlignment="1" applyProtection="1">
      <alignment horizontal="center" vertical="center" wrapText="1"/>
    </xf>
    <xf numFmtId="1" fontId="2" fillId="12" borderId="28" xfId="0" applyNumberFormat="1" applyFont="1" applyFill="1" applyBorder="1" applyAlignment="1" applyProtection="1">
      <alignment horizontal="center" vertical="center" wrapText="1"/>
    </xf>
    <xf numFmtId="0" fontId="2" fillId="12" borderId="28" xfId="0" applyNumberFormat="1" applyFont="1" applyFill="1" applyBorder="1" applyAlignment="1" applyProtection="1">
      <alignment horizontal="center" vertical="center" wrapText="1"/>
    </xf>
    <xf numFmtId="0" fontId="4" fillId="12" borderId="28" xfId="0" applyFont="1" applyFill="1" applyBorder="1" applyAlignment="1" applyProtection="1"/>
    <xf numFmtId="49" fontId="29" fillId="12" borderId="41" xfId="0" applyNumberFormat="1" applyFont="1" applyFill="1" applyBorder="1" applyAlignment="1" applyProtection="1">
      <alignment horizontal="right" vertical="center"/>
    </xf>
    <xf numFmtId="0" fontId="4" fillId="0" borderId="0" xfId="0" applyFont="1" applyFill="1" applyBorder="1" applyAlignment="1" applyProtection="1">
      <alignment vertical="center" wrapText="1"/>
    </xf>
    <xf numFmtId="0" fontId="0" fillId="0" borderId="0" xfId="0" applyFill="1" applyAlignment="1" applyProtection="1">
      <alignment vertical="center" wrapText="1"/>
    </xf>
    <xf numFmtId="3" fontId="4" fillId="0" borderId="0" xfId="0" applyNumberFormat="1"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wrapText="1"/>
    </xf>
    <xf numFmtId="1" fontId="2" fillId="0" borderId="29" xfId="0" applyNumberFormat="1" applyFont="1" applyBorder="1" applyAlignment="1" applyProtection="1">
      <alignment horizontal="center" vertical="center" wrapText="1"/>
    </xf>
    <xf numFmtId="3" fontId="2" fillId="0" borderId="29" xfId="0" applyNumberFormat="1" applyFont="1" applyBorder="1" applyAlignment="1" applyProtection="1">
      <alignment horizontal="center" vertical="center" wrapText="1"/>
    </xf>
    <xf numFmtId="0" fontId="2" fillId="0" borderId="29" xfId="0" applyNumberFormat="1" applyFont="1" applyBorder="1" applyAlignment="1" applyProtection="1">
      <alignment horizontal="center" vertical="center" wrapText="1"/>
    </xf>
    <xf numFmtId="0" fontId="4" fillId="0" borderId="0" xfId="0" applyNumberFormat="1" applyFont="1" applyFill="1" applyBorder="1" applyAlignment="1" applyProtection="1">
      <alignment vertical="center"/>
    </xf>
    <xf numFmtId="0" fontId="22" fillId="0" borderId="0" xfId="0" applyNumberFormat="1" applyFont="1" applyAlignment="1" applyProtection="1">
      <alignment vertical="center"/>
    </xf>
    <xf numFmtId="0" fontId="3" fillId="0" borderId="0" xfId="0" applyNumberFormat="1" applyFont="1" applyFill="1" applyBorder="1" applyAlignment="1" applyProtection="1">
      <alignment vertical="center" wrapText="1"/>
    </xf>
    <xf numFmtId="3" fontId="9" fillId="0" borderId="0"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vertical="center"/>
    </xf>
    <xf numFmtId="0" fontId="3" fillId="0" borderId="59" xfId="0" applyNumberFormat="1" applyFont="1" applyFill="1" applyBorder="1" applyAlignment="1" applyProtection="1">
      <alignment vertical="center" wrapText="1"/>
    </xf>
    <xf numFmtId="3" fontId="29" fillId="12" borderId="56" xfId="0" applyNumberFormat="1" applyFont="1" applyFill="1" applyBorder="1" applyAlignment="1" applyProtection="1">
      <alignment vertical="center"/>
    </xf>
    <xf numFmtId="49" fontId="29" fillId="12" borderId="56" xfId="0" applyNumberFormat="1" applyFont="1" applyFill="1" applyBorder="1" applyAlignment="1" applyProtection="1">
      <alignment vertical="center"/>
    </xf>
    <xf numFmtId="49" fontId="29" fillId="12" borderId="60" xfId="0" applyNumberFormat="1"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5" fillId="0" borderId="0" xfId="0" applyFont="1" applyFill="1" applyBorder="1" applyAlignment="1" applyProtection="1">
      <alignment vertical="center"/>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vertical="center" wrapText="1"/>
    </xf>
    <xf numFmtId="0" fontId="9" fillId="0" borderId="0" xfId="0" applyFont="1" applyFill="1" applyBorder="1" applyAlignment="1" applyProtection="1">
      <alignment horizontal="left" vertical="center"/>
    </xf>
    <xf numFmtId="0" fontId="9" fillId="0" borderId="0" xfId="0" applyFont="1" applyFill="1" applyBorder="1" applyAlignment="1" applyProtection="1">
      <alignment vertical="center"/>
    </xf>
    <xf numFmtId="3" fontId="9" fillId="0" borderId="0" xfId="0" applyNumberFormat="1" applyFont="1" applyFill="1" applyBorder="1" applyAlignment="1" applyProtection="1">
      <alignment vertical="center"/>
    </xf>
    <xf numFmtId="0" fontId="2" fillId="0" borderId="0" xfId="0" applyFont="1" applyAlignment="1" applyProtection="1">
      <alignment vertical="center"/>
    </xf>
    <xf numFmtId="49" fontId="9" fillId="0" borderId="0" xfId="0" applyNumberFormat="1" applyFont="1" applyFill="1" applyBorder="1" applyAlignment="1" applyProtection="1">
      <alignment vertical="center"/>
    </xf>
    <xf numFmtId="0" fontId="2" fillId="0" borderId="8" xfId="0" applyNumberFormat="1" applyFont="1" applyBorder="1" applyAlignment="1" applyProtection="1">
      <alignment horizontal="center" vertical="center" wrapText="1"/>
    </xf>
    <xf numFmtId="0" fontId="2" fillId="0" borderId="19" xfId="0" applyNumberFormat="1" applyFont="1" applyBorder="1" applyAlignment="1" applyProtection="1">
      <alignment horizontal="center" vertical="center" wrapText="1"/>
    </xf>
    <xf numFmtId="0" fontId="2" fillId="0" borderId="6" xfId="0" applyNumberFormat="1" applyFont="1" applyBorder="1" applyAlignment="1" applyProtection="1">
      <alignment horizontal="center" vertical="center" wrapText="1"/>
    </xf>
    <xf numFmtId="49" fontId="29" fillId="12" borderId="56" xfId="0" applyNumberFormat="1" applyFont="1" applyFill="1" applyBorder="1" applyAlignment="1" applyProtection="1">
      <alignment horizontal="center" vertical="center" wrapText="1"/>
    </xf>
    <xf numFmtId="49" fontId="29" fillId="12" borderId="28" xfId="0" applyNumberFormat="1" applyFont="1" applyFill="1" applyBorder="1" applyAlignment="1" applyProtection="1">
      <alignment horizontal="center" vertical="center" wrapText="1"/>
    </xf>
    <xf numFmtId="3" fontId="29" fillId="12" borderId="28" xfId="0" applyNumberFormat="1" applyFont="1" applyFill="1" applyBorder="1" applyAlignment="1" applyProtection="1">
      <alignment horizontal="center" vertical="center" wrapText="1"/>
    </xf>
    <xf numFmtId="3" fontId="29" fillId="12" borderId="28" xfId="0" applyNumberFormat="1" applyFont="1" applyFill="1" applyBorder="1" applyAlignment="1" applyProtection="1">
      <alignment vertical="center" wrapText="1"/>
    </xf>
    <xf numFmtId="49" fontId="2" fillId="0" borderId="29" xfId="0" applyNumberFormat="1" applyFont="1" applyFill="1" applyBorder="1" applyAlignment="1" applyProtection="1">
      <alignment horizontal="center" vertical="center" wrapText="1"/>
    </xf>
    <xf numFmtId="0" fontId="2" fillId="0" borderId="29" xfId="0" applyFont="1" applyFill="1" applyBorder="1" applyAlignment="1" applyProtection="1">
      <alignment horizontal="center" vertical="center" wrapText="1"/>
    </xf>
    <xf numFmtId="0" fontId="2" fillId="0" borderId="56" xfId="0" applyFont="1" applyFill="1" applyBorder="1" applyAlignment="1" applyProtection="1">
      <alignment horizontal="center" vertical="center" wrapText="1"/>
    </xf>
    <xf numFmtId="3" fontId="29" fillId="12" borderId="29" xfId="0" applyNumberFormat="1" applyFont="1" applyFill="1" applyBorder="1" applyAlignment="1" applyProtection="1">
      <alignment vertical="center" wrapText="1"/>
    </xf>
    <xf numFmtId="0" fontId="4" fillId="0" borderId="0" xfId="0" applyFont="1" applyFill="1" applyProtection="1"/>
    <xf numFmtId="49" fontId="29" fillId="12" borderId="28" xfId="0" applyNumberFormat="1" applyFont="1" applyFill="1" applyBorder="1" applyAlignment="1" applyProtection="1">
      <alignment vertical="center"/>
    </xf>
    <xf numFmtId="0" fontId="31" fillId="0" borderId="34" xfId="0" applyFont="1" applyBorder="1" applyAlignment="1" applyProtection="1">
      <alignment vertical="center"/>
    </xf>
    <xf numFmtId="0" fontId="31" fillId="0" borderId="36" xfId="0" applyFont="1" applyBorder="1" applyAlignment="1" applyProtection="1">
      <alignment vertical="center"/>
    </xf>
    <xf numFmtId="0" fontId="31" fillId="0" borderId="42" xfId="0" applyFont="1" applyBorder="1" applyAlignment="1" applyProtection="1">
      <alignment vertical="center"/>
    </xf>
    <xf numFmtId="0" fontId="31" fillId="0" borderId="19" xfId="0" applyFont="1" applyBorder="1" applyAlignment="1" applyProtection="1">
      <alignment vertical="center"/>
    </xf>
    <xf numFmtId="0" fontId="32" fillId="0" borderId="42" xfId="0" applyFont="1" applyBorder="1" applyAlignment="1" applyProtection="1">
      <alignment vertical="center"/>
    </xf>
    <xf numFmtId="0" fontId="32" fillId="0" borderId="19" xfId="0" applyFont="1" applyBorder="1" applyAlignment="1" applyProtection="1">
      <alignment vertical="center"/>
    </xf>
    <xf numFmtId="3" fontId="9" fillId="0" borderId="0" xfId="0" applyNumberFormat="1" applyFont="1" applyFill="1" applyBorder="1" applyAlignment="1" applyProtection="1"/>
    <xf numFmtId="3" fontId="26" fillId="15" borderId="20" xfId="0" applyNumberFormat="1" applyFont="1" applyFill="1" applyBorder="1" applyProtection="1">
      <protection hidden="1"/>
    </xf>
    <xf numFmtId="3" fontId="26" fillId="15" borderId="21" xfId="0" applyNumberFormat="1" applyFont="1" applyFill="1" applyBorder="1" applyProtection="1">
      <protection hidden="1"/>
    </xf>
    <xf numFmtId="3" fontId="26" fillId="0" borderId="0" xfId="0" applyNumberFormat="1" applyFont="1" applyFill="1" applyBorder="1" applyAlignment="1" applyProtection="1">
      <protection hidden="1"/>
    </xf>
    <xf numFmtId="3" fontId="26" fillId="15" borderId="20" xfId="0" applyNumberFormat="1" applyFont="1" applyFill="1" applyBorder="1" applyAlignment="1" applyProtection="1">
      <alignment vertical="center"/>
      <protection hidden="1"/>
    </xf>
    <xf numFmtId="3" fontId="29" fillId="12" borderId="41" xfId="0" applyNumberFormat="1" applyFont="1" applyFill="1" applyBorder="1" applyAlignment="1" applyProtection="1">
      <alignment horizontal="right" vertical="center"/>
    </xf>
    <xf numFmtId="3" fontId="29" fillId="15" borderId="53" xfId="0" applyNumberFormat="1" applyFont="1" applyFill="1" applyBorder="1" applyAlignment="1" applyProtection="1">
      <alignment vertical="center" wrapText="1"/>
      <protection hidden="1"/>
    </xf>
    <xf numFmtId="3" fontId="29" fillId="15" borderId="26" xfId="0" applyNumberFormat="1" applyFont="1" applyFill="1" applyBorder="1" applyAlignment="1" applyProtection="1">
      <alignment vertical="center" wrapText="1"/>
      <protection hidden="1"/>
    </xf>
    <xf numFmtId="3" fontId="26" fillId="12" borderId="62" xfId="0" applyNumberFormat="1" applyFont="1" applyFill="1" applyBorder="1" applyAlignment="1" applyProtection="1">
      <alignment vertical="center"/>
      <protection hidden="1"/>
    </xf>
    <xf numFmtId="3" fontId="26" fillId="12" borderId="0" xfId="0" applyNumberFormat="1" applyFont="1" applyFill="1" applyBorder="1" applyAlignment="1" applyProtection="1">
      <alignment vertical="center"/>
      <protection hidden="1"/>
    </xf>
    <xf numFmtId="3" fontId="26" fillId="15" borderId="14" xfId="0" applyNumberFormat="1" applyFont="1" applyFill="1" applyBorder="1" applyAlignment="1" applyProtection="1">
      <alignment vertical="center"/>
      <protection hidden="1"/>
    </xf>
    <xf numFmtId="3" fontId="26" fillId="15" borderId="11" xfId="0" applyNumberFormat="1" applyFont="1" applyFill="1" applyBorder="1" applyAlignment="1" applyProtection="1">
      <alignment vertical="center"/>
      <protection hidden="1"/>
    </xf>
    <xf numFmtId="3" fontId="26" fillId="15" borderId="42" xfId="0" applyNumberFormat="1" applyFont="1" applyFill="1" applyBorder="1" applyAlignment="1" applyProtection="1">
      <alignment vertical="center"/>
      <protection hidden="1"/>
    </xf>
    <xf numFmtId="3" fontId="26" fillId="15" borderId="5" xfId="0" applyNumberFormat="1" applyFont="1" applyFill="1" applyBorder="1" applyAlignment="1" applyProtection="1">
      <alignment vertical="center"/>
      <protection hidden="1"/>
    </xf>
    <xf numFmtId="3" fontId="26" fillId="15" borderId="7" xfId="0" applyNumberFormat="1" applyFont="1" applyFill="1" applyBorder="1" applyAlignment="1" applyProtection="1">
      <alignment vertical="center"/>
      <protection hidden="1"/>
    </xf>
    <xf numFmtId="3" fontId="26" fillId="15" borderId="18" xfId="0" applyNumberFormat="1" applyFont="1" applyFill="1" applyBorder="1" applyAlignment="1" applyProtection="1">
      <alignment vertical="center"/>
      <protection hidden="1"/>
    </xf>
    <xf numFmtId="3" fontId="26" fillId="15" borderId="6" xfId="0" applyNumberFormat="1" applyFont="1" applyFill="1" applyBorder="1" applyAlignment="1" applyProtection="1">
      <alignment vertical="center"/>
      <protection hidden="1"/>
    </xf>
    <xf numFmtId="3" fontId="26" fillId="15" borderId="8" xfId="0" applyNumberFormat="1" applyFont="1" applyFill="1" applyBorder="1" applyAlignment="1" applyProtection="1">
      <alignment vertical="center"/>
      <protection hidden="1"/>
    </xf>
    <xf numFmtId="3" fontId="26" fillId="15" borderId="19" xfId="0" applyNumberFormat="1" applyFont="1" applyFill="1" applyBorder="1" applyAlignment="1" applyProtection="1">
      <alignment vertical="center"/>
      <protection hidden="1"/>
    </xf>
    <xf numFmtId="0" fontId="29" fillId="12" borderId="56" xfId="0" applyFont="1" applyFill="1" applyBorder="1" applyAlignment="1" applyProtection="1">
      <protection hidden="1"/>
    </xf>
    <xf numFmtId="0" fontId="32" fillId="0" borderId="60" xfId="0" applyFont="1" applyFill="1" applyBorder="1" applyAlignment="1" applyProtection="1">
      <alignment horizontal="center" vertical="top" wrapText="1"/>
    </xf>
    <xf numFmtId="0" fontId="29" fillId="12" borderId="28" xfId="0" applyFont="1" applyFill="1" applyBorder="1" applyAlignment="1" applyProtection="1">
      <alignment horizontal="right" vertical="center"/>
      <protection hidden="1"/>
    </xf>
    <xf numFmtId="3" fontId="26" fillId="15" borderId="63" xfId="0" applyNumberFormat="1" applyFont="1" applyFill="1" applyBorder="1" applyProtection="1">
      <protection hidden="1"/>
    </xf>
    <xf numFmtId="3" fontId="26" fillId="12" borderId="63" xfId="0" applyNumberFormat="1" applyFont="1" applyFill="1" applyBorder="1" applyProtection="1">
      <protection hidden="1"/>
    </xf>
    <xf numFmtId="3" fontId="26" fillId="12" borderId="64" xfId="0" applyNumberFormat="1" applyFont="1" applyFill="1" applyBorder="1" applyProtection="1">
      <protection hidden="1"/>
    </xf>
    <xf numFmtId="0" fontId="2" fillId="0" borderId="53" xfId="0" applyFont="1" applyFill="1" applyBorder="1" applyAlignment="1" applyProtection="1">
      <alignment horizontal="center" vertical="top" wrapText="1"/>
    </xf>
    <xf numFmtId="3" fontId="29" fillId="15" borderId="29" xfId="0" applyNumberFormat="1" applyFont="1" applyFill="1" applyBorder="1" applyProtection="1">
      <protection hidden="1"/>
    </xf>
    <xf numFmtId="0" fontId="26" fillId="12" borderId="21" xfId="0" applyFont="1" applyFill="1" applyBorder="1" applyProtection="1">
      <protection hidden="1"/>
    </xf>
    <xf numFmtId="0" fontId="26" fillId="12" borderId="22" xfId="0" applyFont="1" applyFill="1" applyBorder="1" applyProtection="1">
      <protection hidden="1"/>
    </xf>
    <xf numFmtId="3" fontId="29" fillId="15" borderId="22" xfId="0" applyNumberFormat="1" applyFont="1" applyFill="1" applyBorder="1" applyAlignment="1" applyProtection="1">
      <alignment horizontal="right" vertical="center"/>
      <protection hidden="1"/>
    </xf>
    <xf numFmtId="3" fontId="29" fillId="15" borderId="58" xfId="0" applyNumberFormat="1" applyFont="1" applyFill="1" applyBorder="1" applyAlignment="1" applyProtection="1">
      <alignment horizontal="right" vertical="center"/>
      <protection hidden="1"/>
    </xf>
    <xf numFmtId="0" fontId="37" fillId="0" borderId="4" xfId="14" applyFont="1" applyFill="1" applyBorder="1" applyAlignment="1" applyProtection="1">
      <alignment horizontal="center" vertical="center"/>
      <protection locked="0"/>
    </xf>
    <xf numFmtId="0" fontId="41" fillId="0" borderId="4" xfId="14" applyFill="1" applyBorder="1" applyProtection="1">
      <protection locked="0"/>
    </xf>
    <xf numFmtId="0" fontId="41" fillId="0" borderId="4" xfId="14" applyBorder="1" applyProtection="1">
      <protection locked="0"/>
    </xf>
    <xf numFmtId="0" fontId="38" fillId="18" borderId="4" xfId="14" applyFont="1" applyFill="1" applyBorder="1" applyProtection="1"/>
    <xf numFmtId="0" fontId="10" fillId="0" borderId="56" xfId="0" applyFont="1" applyBorder="1" applyAlignment="1" applyProtection="1">
      <alignment vertical="center"/>
    </xf>
    <xf numFmtId="0" fontId="10" fillId="0" borderId="56" xfId="0" applyNumberFormat="1" applyFont="1" applyBorder="1" applyAlignment="1" applyProtection="1">
      <alignment vertical="center"/>
    </xf>
    <xf numFmtId="0" fontId="40" fillId="0" borderId="0" xfId="0" applyFont="1" applyAlignment="1" applyProtection="1">
      <alignment vertical="center"/>
    </xf>
    <xf numFmtId="0" fontId="40" fillId="0" borderId="0" xfId="0" applyFont="1" applyAlignment="1" applyProtection="1">
      <alignment vertical="center"/>
      <protection hidden="1"/>
    </xf>
    <xf numFmtId="0" fontId="10" fillId="0" borderId="0" xfId="0" applyFont="1" applyAlignment="1" applyProtection="1">
      <alignment vertical="center"/>
      <protection hidden="1"/>
    </xf>
    <xf numFmtId="3" fontId="21" fillId="0" borderId="0" xfId="0" applyNumberFormat="1" applyFont="1" applyFill="1" applyBorder="1" applyAlignment="1" applyProtection="1">
      <alignment vertical="center"/>
      <protection hidden="1"/>
    </xf>
    <xf numFmtId="0" fontId="10" fillId="0" borderId="66" xfId="0" applyFont="1" applyBorder="1" applyAlignment="1" applyProtection="1">
      <alignment vertical="center"/>
    </xf>
    <xf numFmtId="0" fontId="10" fillId="20" borderId="41" xfId="0" applyNumberFormat="1" applyFont="1" applyFill="1" applyBorder="1" applyAlignment="1" applyProtection="1">
      <alignment vertical="center"/>
      <protection hidden="1"/>
    </xf>
    <xf numFmtId="164" fontId="10" fillId="15" borderId="29" xfId="0" applyNumberFormat="1" applyFont="1" applyFill="1" applyBorder="1" applyAlignment="1" applyProtection="1">
      <alignment vertical="center" shrinkToFit="1"/>
      <protection hidden="1"/>
    </xf>
    <xf numFmtId="0" fontId="10" fillId="0" borderId="29" xfId="0" applyFont="1" applyBorder="1" applyAlignment="1" applyProtection="1">
      <alignment vertical="center"/>
      <protection hidden="1"/>
    </xf>
    <xf numFmtId="164" fontId="10" fillId="15" borderId="29" xfId="0" applyNumberFormat="1" applyFont="1" applyFill="1" applyBorder="1" applyAlignment="1" applyProtection="1">
      <alignment vertical="center"/>
      <protection hidden="1"/>
    </xf>
    <xf numFmtId="0" fontId="21" fillId="0" borderId="31" xfId="0" applyFont="1" applyBorder="1" applyAlignment="1" applyProtection="1">
      <alignment vertical="center"/>
      <protection hidden="1"/>
    </xf>
    <xf numFmtId="14" fontId="10" fillId="15" borderId="29" xfId="0" applyNumberFormat="1" applyFont="1" applyFill="1" applyBorder="1" applyAlignment="1" applyProtection="1">
      <alignment vertical="center"/>
      <protection hidden="1"/>
    </xf>
    <xf numFmtId="0" fontId="21" fillId="0" borderId="0" xfId="0" applyFont="1" applyBorder="1" applyAlignment="1" applyProtection="1">
      <alignment vertical="center"/>
      <protection hidden="1"/>
    </xf>
    <xf numFmtId="14" fontId="10" fillId="0" borderId="74" xfId="0" applyNumberFormat="1" applyFont="1" applyFill="1" applyBorder="1" applyAlignment="1" applyProtection="1">
      <alignment vertical="center"/>
      <protection locked="0" hidden="1"/>
    </xf>
    <xf numFmtId="3" fontId="32" fillId="0" borderId="15" xfId="0" applyNumberFormat="1" applyFont="1" applyBorder="1" applyAlignment="1" applyProtection="1">
      <alignment horizontal="right" vertical="center"/>
    </xf>
    <xf numFmtId="3" fontId="32" fillId="0" borderId="17" xfId="0" applyNumberFormat="1" applyFont="1" applyBorder="1" applyAlignment="1" applyProtection="1">
      <alignment horizontal="right" vertical="center"/>
    </xf>
    <xf numFmtId="0" fontId="2" fillId="0" borderId="8" xfId="0" applyNumberFormat="1" applyFont="1" applyFill="1" applyBorder="1" applyAlignment="1" applyProtection="1">
      <alignment horizontal="center" vertical="center" wrapText="1"/>
    </xf>
    <xf numFmtId="0" fontId="27" fillId="24" borderId="0" xfId="0" applyFont="1" applyFill="1" applyBorder="1" applyAlignment="1">
      <alignment vertical="center"/>
    </xf>
    <xf numFmtId="0" fontId="27" fillId="23" borderId="46" xfId="0" applyFont="1" applyFill="1" applyBorder="1" applyAlignment="1">
      <alignment vertical="center"/>
    </xf>
    <xf numFmtId="0" fontId="27" fillId="22" borderId="44" xfId="0" applyFont="1" applyFill="1" applyBorder="1" applyAlignment="1">
      <alignment vertical="center"/>
    </xf>
    <xf numFmtId="0" fontId="27" fillId="0" borderId="0" xfId="0" applyFont="1" applyBorder="1" applyAlignment="1">
      <alignment vertical="center"/>
    </xf>
    <xf numFmtId="0" fontId="4" fillId="0" borderId="0" xfId="0" applyFont="1" applyFill="1" applyBorder="1" applyAlignment="1" applyProtection="1">
      <alignment vertical="center"/>
    </xf>
    <xf numFmtId="0" fontId="4" fillId="0" borderId="0" xfId="0" applyFont="1" applyFill="1" applyBorder="1" applyAlignment="1" applyProtection="1">
      <alignment vertical="center"/>
      <protection hidden="1"/>
    </xf>
    <xf numFmtId="0" fontId="2" fillId="0" borderId="0" xfId="0" applyFont="1" applyFill="1" applyBorder="1" applyAlignment="1" applyProtection="1">
      <alignment horizontal="center" vertical="center" wrapText="1"/>
    </xf>
    <xf numFmtId="0" fontId="4" fillId="0" borderId="45" xfId="0" applyFont="1" applyFill="1" applyBorder="1" applyAlignment="1" applyProtection="1">
      <alignment horizontal="center" vertical="center" wrapText="1"/>
    </xf>
    <xf numFmtId="0" fontId="4" fillId="0" borderId="39" xfId="12" applyFont="1" applyFill="1" applyBorder="1" applyAlignment="1" applyProtection="1">
      <alignment horizontal="center" vertical="center" wrapText="1"/>
    </xf>
    <xf numFmtId="0" fontId="4" fillId="0" borderId="39" xfId="0" applyFont="1" applyFill="1" applyBorder="1" applyAlignment="1" applyProtection="1">
      <alignment horizontal="center" vertical="center" wrapText="1"/>
    </xf>
    <xf numFmtId="0" fontId="4" fillId="0" borderId="57" xfId="0" applyFont="1" applyFill="1" applyBorder="1" applyAlignment="1" applyProtection="1">
      <alignment horizontal="center" vertical="center" wrapText="1"/>
    </xf>
    <xf numFmtId="0" fontId="29" fillId="12" borderId="34" xfId="0" applyFont="1" applyFill="1" applyBorder="1" applyAlignment="1" applyProtection="1">
      <alignment vertical="center" wrapText="1"/>
    </xf>
    <xf numFmtId="0" fontId="26" fillId="12" borderId="42" xfId="0" applyFont="1" applyFill="1" applyBorder="1" applyAlignment="1" applyProtection="1">
      <alignment vertical="center"/>
    </xf>
    <xf numFmtId="0" fontId="29" fillId="12" borderId="15" xfId="0" applyFont="1" applyFill="1" applyBorder="1" applyAlignment="1" applyProtection="1">
      <alignment horizontal="right" vertical="center" wrapText="1"/>
    </xf>
    <xf numFmtId="3" fontId="29" fillId="13" borderId="34" xfId="0" applyNumberFormat="1" applyFont="1" applyFill="1" applyBorder="1" applyAlignment="1" applyProtection="1">
      <alignment vertical="center"/>
      <protection hidden="1"/>
    </xf>
    <xf numFmtId="3" fontId="29" fillId="13" borderId="13" xfId="0" applyNumberFormat="1" applyFont="1" applyFill="1" applyBorder="1" applyAlignment="1" applyProtection="1">
      <alignment vertical="center"/>
      <protection hidden="1"/>
    </xf>
    <xf numFmtId="3" fontId="26" fillId="15" borderId="13" xfId="0" applyNumberFormat="1" applyFont="1" applyFill="1" applyBorder="1" applyAlignment="1" applyProtection="1">
      <alignment vertical="center"/>
      <protection hidden="1"/>
    </xf>
    <xf numFmtId="3" fontId="29" fillId="13" borderId="14" xfId="0" applyNumberFormat="1" applyFont="1" applyFill="1" applyBorder="1" applyAlignment="1" applyProtection="1">
      <alignment vertical="center"/>
      <protection hidden="1"/>
    </xf>
    <xf numFmtId="0" fontId="29" fillId="12" borderId="36" xfId="0" applyFont="1" applyFill="1" applyBorder="1" applyAlignment="1" applyProtection="1">
      <alignment vertical="center" wrapText="1"/>
    </xf>
    <xf numFmtId="0" fontId="29" fillId="12" borderId="19" xfId="0" applyFont="1" applyFill="1" applyBorder="1" applyAlignment="1" applyProtection="1">
      <alignment vertical="center"/>
    </xf>
    <xf numFmtId="0" fontId="29" fillId="12" borderId="58" xfId="0" applyFont="1" applyFill="1" applyBorder="1" applyAlignment="1" applyProtection="1">
      <alignment horizontal="right" vertical="center" wrapText="1"/>
    </xf>
    <xf numFmtId="3" fontId="29" fillId="13" borderId="22" xfId="0" applyNumberFormat="1" applyFont="1" applyFill="1" applyBorder="1" applyAlignment="1" applyProtection="1">
      <alignment vertical="center"/>
      <protection hidden="1"/>
    </xf>
    <xf numFmtId="3" fontId="29" fillId="15" borderId="36" xfId="0" applyNumberFormat="1" applyFont="1" applyFill="1" applyBorder="1" applyAlignment="1" applyProtection="1">
      <alignment vertical="center"/>
      <protection hidden="1"/>
    </xf>
    <xf numFmtId="3" fontId="29" fillId="13" borderId="8" xfId="0" applyNumberFormat="1" applyFont="1" applyFill="1" applyBorder="1" applyAlignment="1" applyProtection="1">
      <alignment vertical="center"/>
      <protection hidden="1"/>
    </xf>
    <xf numFmtId="3" fontId="29" fillId="13" borderId="3" xfId="0" applyNumberFormat="1" applyFont="1" applyFill="1" applyBorder="1" applyAlignment="1" applyProtection="1">
      <alignment vertical="center"/>
      <protection hidden="1"/>
    </xf>
    <xf numFmtId="3" fontId="29" fillId="15" borderId="3" xfId="0" applyNumberFormat="1" applyFont="1" applyFill="1" applyBorder="1" applyAlignment="1" applyProtection="1">
      <alignment vertical="center"/>
      <protection hidden="1"/>
    </xf>
    <xf numFmtId="3" fontId="29" fillId="15" borderId="6" xfId="0" applyNumberFormat="1" applyFont="1" applyFill="1" applyBorder="1" applyAlignment="1" applyProtection="1">
      <alignment vertical="center"/>
      <protection hidden="1"/>
    </xf>
    <xf numFmtId="0" fontId="29" fillId="0" borderId="0" xfId="0" applyFont="1" applyFill="1" applyBorder="1" applyAlignment="1" applyProtection="1">
      <alignment vertical="center"/>
      <protection hidden="1"/>
    </xf>
    <xf numFmtId="0" fontId="26" fillId="15" borderId="30" xfId="0" applyFont="1" applyFill="1" applyBorder="1" applyAlignment="1" applyProtection="1">
      <alignment vertical="center"/>
      <protection hidden="1"/>
    </xf>
    <xf numFmtId="3" fontId="26" fillId="15" borderId="15" xfId="0" applyNumberFormat="1" applyFont="1" applyFill="1" applyBorder="1" applyAlignment="1" applyProtection="1">
      <alignment vertical="center"/>
      <protection hidden="1"/>
    </xf>
    <xf numFmtId="3" fontId="26" fillId="15" borderId="61" xfId="0" applyNumberFormat="1" applyFont="1" applyFill="1" applyBorder="1" applyAlignment="1" applyProtection="1">
      <alignment vertical="center"/>
      <protection hidden="1"/>
    </xf>
    <xf numFmtId="3" fontId="26" fillId="15" borderId="24" xfId="0" applyNumberFormat="1" applyFont="1" applyFill="1" applyBorder="1" applyAlignment="1" applyProtection="1">
      <alignment vertical="center"/>
      <protection hidden="1"/>
    </xf>
    <xf numFmtId="0" fontId="26" fillId="15" borderId="21" xfId="0" applyFont="1" applyFill="1" applyBorder="1" applyAlignment="1" applyProtection="1">
      <alignment vertical="center"/>
      <protection hidden="1"/>
    </xf>
    <xf numFmtId="3" fontId="26" fillId="15" borderId="16" xfId="0" applyNumberFormat="1" applyFont="1" applyFill="1" applyBorder="1" applyAlignment="1" applyProtection="1">
      <alignment vertical="center"/>
      <protection hidden="1"/>
    </xf>
    <xf numFmtId="3" fontId="26" fillId="15" borderId="4" xfId="0" applyNumberFormat="1" applyFont="1" applyFill="1" applyBorder="1" applyAlignment="1" applyProtection="1">
      <alignment vertical="center"/>
      <protection hidden="1"/>
    </xf>
    <xf numFmtId="3" fontId="26" fillId="15" borderId="17" xfId="0" applyNumberFormat="1" applyFont="1" applyFill="1" applyBorder="1" applyAlignment="1" applyProtection="1">
      <alignment vertical="center"/>
      <protection hidden="1"/>
    </xf>
    <xf numFmtId="3" fontId="26" fillId="15" borderId="3" xfId="0" applyNumberFormat="1" applyFont="1" applyFill="1" applyBorder="1" applyAlignment="1" applyProtection="1">
      <alignment vertical="center"/>
      <protection hidden="1"/>
    </xf>
    <xf numFmtId="0" fontId="35" fillId="0" borderId="0" xfId="12" applyFont="1" applyFill="1" applyBorder="1" applyAlignment="1" applyProtection="1">
      <alignment horizontal="left" vertical="center"/>
      <protection hidden="1"/>
    </xf>
    <xf numFmtId="0" fontId="9" fillId="0" borderId="0" xfId="0" applyFont="1" applyFill="1" applyBorder="1" applyAlignment="1" applyProtection="1">
      <alignment horizontal="left" vertical="center" wrapText="1"/>
    </xf>
    <xf numFmtId="0" fontId="9" fillId="0" borderId="0" xfId="0" applyFont="1" applyFill="1" applyBorder="1" applyAlignment="1" applyProtection="1">
      <alignment vertical="center" wrapText="1"/>
    </xf>
    <xf numFmtId="0" fontId="2" fillId="0" borderId="0" xfId="0" applyFont="1" applyFill="1" applyBorder="1" applyAlignment="1" applyProtection="1">
      <alignment vertical="center" wrapText="1"/>
      <protection hidden="1"/>
    </xf>
    <xf numFmtId="0" fontId="6" fillId="0" borderId="48" xfId="12" applyBorder="1" applyAlignment="1" applyProtection="1">
      <alignment vertical="top"/>
    </xf>
    <xf numFmtId="3" fontId="26" fillId="15" borderId="37" xfId="0" applyNumberFormat="1" applyFont="1" applyFill="1" applyBorder="1" applyAlignment="1" applyProtection="1">
      <alignment vertical="center"/>
      <protection hidden="1"/>
    </xf>
    <xf numFmtId="3" fontId="26" fillId="15" borderId="63" xfId="0" applyNumberFormat="1" applyFont="1" applyFill="1" applyBorder="1" applyAlignment="1" applyProtection="1">
      <alignment vertical="center"/>
      <protection hidden="1"/>
    </xf>
    <xf numFmtId="3" fontId="26" fillId="15" borderId="64" xfId="0" applyNumberFormat="1" applyFont="1" applyFill="1" applyBorder="1" applyAlignment="1" applyProtection="1">
      <alignment vertical="center"/>
      <protection hidden="1"/>
    </xf>
    <xf numFmtId="3" fontId="29" fillId="15" borderId="73" xfId="0" applyNumberFormat="1" applyFont="1" applyFill="1" applyBorder="1" applyAlignment="1" applyProtection="1">
      <alignment vertical="center" wrapText="1"/>
      <protection hidden="1"/>
    </xf>
    <xf numFmtId="3" fontId="26" fillId="15" borderId="61" xfId="0" applyNumberFormat="1" applyFont="1" applyFill="1" applyBorder="1" applyProtection="1">
      <protection hidden="1"/>
    </xf>
    <xf numFmtId="3" fontId="26" fillId="15" borderId="47" xfId="0" applyNumberFormat="1" applyFont="1" applyFill="1" applyBorder="1" applyProtection="1">
      <protection hidden="1"/>
    </xf>
    <xf numFmtId="3" fontId="26" fillId="15" borderId="30" xfId="0" applyNumberFormat="1" applyFont="1" applyFill="1" applyBorder="1" applyProtection="1">
      <protection hidden="1"/>
    </xf>
    <xf numFmtId="0" fontId="31" fillId="0" borderId="0" xfId="0" applyFont="1"/>
    <xf numFmtId="0" fontId="27" fillId="0" borderId="0" xfId="0" applyFont="1" applyAlignment="1">
      <alignment vertical="center"/>
    </xf>
    <xf numFmtId="0" fontId="30" fillId="0" borderId="41" xfId="0" applyFont="1" applyBorder="1" applyAlignment="1">
      <alignment horizontal="center" vertical="center" wrapText="1"/>
    </xf>
    <xf numFmtId="0" fontId="31" fillId="0" borderId="11" xfId="0" applyFont="1" applyBorder="1" applyAlignment="1">
      <alignment vertical="center"/>
    </xf>
    <xf numFmtId="0" fontId="44" fillId="0" borderId="49" xfId="0" applyFont="1" applyBorder="1" applyAlignment="1">
      <alignment horizontal="center" vertical="center"/>
    </xf>
    <xf numFmtId="0" fontId="44" fillId="0" borderId="50" xfId="0" applyFont="1" applyBorder="1" applyAlignment="1">
      <alignment horizontal="center" vertical="center" wrapText="1"/>
    </xf>
    <xf numFmtId="0" fontId="44" fillId="0" borderId="51" xfId="0" applyFont="1" applyBorder="1" applyAlignment="1">
      <alignment horizontal="center" vertical="center" wrapText="1"/>
    </xf>
    <xf numFmtId="0" fontId="44" fillId="0" borderId="51" xfId="0" applyFont="1" applyBorder="1" applyAlignment="1">
      <alignment horizontal="center" vertical="center"/>
    </xf>
    <xf numFmtId="0" fontId="44" fillId="0" borderId="52" xfId="0" applyFont="1" applyBorder="1" applyAlignment="1">
      <alignment horizontal="center" vertical="center"/>
    </xf>
    <xf numFmtId="0" fontId="27" fillId="0" borderId="41" xfId="0" applyFont="1" applyBorder="1" applyAlignment="1">
      <alignment horizontal="center" vertical="center"/>
    </xf>
    <xf numFmtId="0" fontId="27" fillId="0" borderId="25" xfId="0" applyFont="1" applyBorder="1" applyAlignment="1">
      <alignment horizontal="center" vertical="center" wrapText="1"/>
    </xf>
    <xf numFmtId="0" fontId="27" fillId="0" borderId="26" xfId="0" applyFont="1" applyBorder="1" applyAlignment="1">
      <alignment horizontal="center" vertical="center" wrapText="1"/>
    </xf>
    <xf numFmtId="0" fontId="27" fillId="0" borderId="0" xfId="0" applyFont="1" applyAlignment="1">
      <alignment horizontal="center" vertical="center"/>
    </xf>
    <xf numFmtId="0" fontId="31" fillId="0" borderId="38" xfId="0" applyFont="1" applyBorder="1" applyAlignment="1">
      <alignment horizontal="center" vertical="center"/>
    </xf>
    <xf numFmtId="0" fontId="27" fillId="0" borderId="15" xfId="0" applyFont="1" applyBorder="1" applyAlignment="1">
      <alignment horizontal="center" vertical="center"/>
    </xf>
    <xf numFmtId="3" fontId="27" fillId="0" borderId="12" xfId="0" applyNumberFormat="1" applyFont="1" applyFill="1" applyBorder="1" applyAlignment="1">
      <alignment horizontal="right" vertical="center" wrapText="1"/>
    </xf>
    <xf numFmtId="3" fontId="27" fillId="0" borderId="13" xfId="0" applyNumberFormat="1" applyFont="1" applyFill="1" applyBorder="1" applyAlignment="1">
      <alignment horizontal="right" vertical="center" wrapText="1"/>
    </xf>
    <xf numFmtId="3" fontId="27" fillId="0" borderId="14" xfId="0" applyNumberFormat="1" applyFont="1" applyFill="1" applyBorder="1" applyAlignment="1">
      <alignment horizontal="right" vertical="center" wrapText="1"/>
    </xf>
    <xf numFmtId="49" fontId="27" fillId="0" borderId="23" xfId="0" applyNumberFormat="1" applyFont="1" applyBorder="1" applyAlignment="1">
      <alignment horizontal="center" vertical="center"/>
    </xf>
    <xf numFmtId="3" fontId="27" fillId="0" borderId="24" xfId="0" applyNumberFormat="1" applyFont="1" applyBorder="1" applyAlignment="1">
      <alignment horizontal="center" vertical="center"/>
    </xf>
    <xf numFmtId="0" fontId="27" fillId="0" borderId="0" xfId="0" applyFont="1" applyAlignment="1">
      <alignment vertical="center" wrapText="1"/>
    </xf>
    <xf numFmtId="0" fontId="27" fillId="0" borderId="16" xfId="0" applyFont="1" applyBorder="1" applyAlignment="1">
      <alignment horizontal="center" vertical="center"/>
    </xf>
    <xf numFmtId="3" fontId="27" fillId="0" borderId="9" xfId="0" applyNumberFormat="1" applyFont="1" applyFill="1" applyBorder="1" applyAlignment="1">
      <alignment horizontal="right" vertical="center" wrapText="1"/>
    </xf>
    <xf numFmtId="3" fontId="27" fillId="0" borderId="4" xfId="0" applyNumberFormat="1" applyFont="1" applyFill="1" applyBorder="1" applyAlignment="1">
      <alignment horizontal="right" vertical="center" wrapText="1"/>
    </xf>
    <xf numFmtId="3" fontId="27" fillId="0" borderId="5" xfId="0" applyNumberFormat="1" applyFont="1" applyFill="1" applyBorder="1" applyAlignment="1">
      <alignment horizontal="right" vertical="center" wrapText="1"/>
    </xf>
    <xf numFmtId="49" fontId="27" fillId="0" borderId="8" xfId="0" applyNumberFormat="1" applyFont="1" applyBorder="1" applyAlignment="1">
      <alignment horizontal="center" vertical="center"/>
    </xf>
    <xf numFmtId="3" fontId="27" fillId="0" borderId="6" xfId="0" applyNumberFormat="1" applyFont="1" applyBorder="1" applyAlignment="1">
      <alignment horizontal="center" vertical="center"/>
    </xf>
    <xf numFmtId="0" fontId="31" fillId="0" borderId="7" xfId="0" applyFont="1" applyBorder="1" applyAlignment="1">
      <alignment vertical="center"/>
    </xf>
    <xf numFmtId="0" fontId="32" fillId="0" borderId="0" xfId="0" applyFont="1" applyFill="1" applyBorder="1" applyAlignment="1" applyProtection="1">
      <alignment horizontal="left" vertical="center"/>
    </xf>
    <xf numFmtId="0" fontId="27" fillId="0" borderId="54" xfId="0" applyFont="1" applyBorder="1" applyAlignment="1">
      <alignment horizontal="center" vertical="center"/>
    </xf>
    <xf numFmtId="0" fontId="27" fillId="0" borderId="65" xfId="0" applyFont="1" applyBorder="1" applyAlignment="1">
      <alignment horizontal="center" vertical="center"/>
    </xf>
    <xf numFmtId="0" fontId="27" fillId="0" borderId="7" xfId="0" applyFont="1" applyBorder="1" applyAlignment="1">
      <alignment vertical="center"/>
    </xf>
    <xf numFmtId="0" fontId="27" fillId="0" borderId="5" xfId="0" applyFont="1" applyBorder="1" applyAlignment="1">
      <alignment vertical="center"/>
    </xf>
    <xf numFmtId="0" fontId="45" fillId="0" borderId="16" xfId="0" applyFont="1" applyBorder="1" applyAlignment="1">
      <alignment horizontal="center" vertical="center" wrapText="1"/>
    </xf>
    <xf numFmtId="0" fontId="27" fillId="0" borderId="17" xfId="0" applyFont="1" applyBorder="1" applyAlignment="1">
      <alignment horizontal="center" vertical="center"/>
    </xf>
    <xf numFmtId="3" fontId="27" fillId="0" borderId="10" xfId="0" applyNumberFormat="1" applyFont="1" applyFill="1" applyBorder="1" applyAlignment="1">
      <alignment horizontal="right" vertical="center" wrapText="1"/>
    </xf>
    <xf numFmtId="3" fontId="27" fillId="0" borderId="3" xfId="0" applyNumberFormat="1" applyFont="1" applyFill="1" applyBorder="1" applyAlignment="1">
      <alignment horizontal="right" vertical="center" wrapText="1"/>
    </xf>
    <xf numFmtId="3" fontId="27" fillId="0" borderId="6" xfId="0" applyNumberFormat="1" applyFont="1" applyFill="1" applyBorder="1" applyAlignment="1">
      <alignment horizontal="right" vertical="center" wrapText="1"/>
    </xf>
    <xf numFmtId="0" fontId="31" fillId="0" borderId="8" xfId="0" applyFont="1" applyBorder="1" applyAlignment="1">
      <alignment vertical="center"/>
    </xf>
    <xf numFmtId="0" fontId="27" fillId="0" borderId="18" xfId="0" applyFont="1" applyBorder="1" applyAlignment="1">
      <alignment horizontal="right" vertical="center"/>
    </xf>
    <xf numFmtId="3" fontId="27" fillId="0" borderId="7" xfId="0" applyNumberFormat="1" applyFont="1" applyFill="1" applyBorder="1" applyAlignment="1">
      <alignment horizontal="right" vertical="center" wrapText="1"/>
    </xf>
    <xf numFmtId="0" fontId="27" fillId="0" borderId="18" xfId="0" applyFont="1" applyBorder="1" applyAlignment="1">
      <alignment vertical="center"/>
    </xf>
    <xf numFmtId="0" fontId="27" fillId="27" borderId="18" xfId="0" applyFont="1" applyFill="1" applyBorder="1" applyAlignment="1">
      <alignment vertical="center"/>
    </xf>
    <xf numFmtId="0" fontId="27" fillId="22" borderId="18" xfId="0" applyFont="1" applyFill="1" applyBorder="1" applyAlignment="1">
      <alignment vertical="center"/>
    </xf>
    <xf numFmtId="0" fontId="27" fillId="25" borderId="46" xfId="0" applyFont="1" applyFill="1" applyBorder="1" applyAlignment="1">
      <alignment vertical="center"/>
    </xf>
    <xf numFmtId="0" fontId="27" fillId="0" borderId="46" xfId="0" applyFont="1" applyBorder="1" applyAlignment="1">
      <alignment vertical="center"/>
    </xf>
    <xf numFmtId="0" fontId="27" fillId="25" borderId="46" xfId="0" quotePrefix="1" applyFont="1" applyFill="1" applyBorder="1" applyAlignment="1">
      <alignment vertical="center"/>
    </xf>
    <xf numFmtId="0" fontId="31" fillId="0" borderId="46" xfId="0" applyFont="1" applyBorder="1"/>
    <xf numFmtId="0" fontId="27" fillId="26" borderId="0" xfId="0" applyFont="1" applyFill="1" applyBorder="1" applyAlignment="1">
      <alignment vertical="center"/>
    </xf>
    <xf numFmtId="0" fontId="31" fillId="0" borderId="0" xfId="0" applyFont="1" applyBorder="1"/>
    <xf numFmtId="0" fontId="27" fillId="27" borderId="44" xfId="0" applyFont="1" applyFill="1" applyBorder="1" applyAlignment="1">
      <alignment vertical="center"/>
    </xf>
    <xf numFmtId="0" fontId="27" fillId="0" borderId="44" xfId="0" applyFont="1" applyBorder="1" applyAlignment="1">
      <alignment vertical="center"/>
    </xf>
    <xf numFmtId="0" fontId="31" fillId="0" borderId="44" xfId="0" applyFont="1" applyBorder="1"/>
    <xf numFmtId="0" fontId="27" fillId="25" borderId="0" xfId="0" applyFont="1" applyFill="1" applyBorder="1" applyAlignment="1">
      <alignment vertical="center"/>
    </xf>
    <xf numFmtId="0" fontId="27" fillId="28" borderId="0" xfId="0" applyFont="1" applyFill="1" applyBorder="1" applyAlignment="1">
      <alignment vertical="center"/>
    </xf>
    <xf numFmtId="0" fontId="27" fillId="0" borderId="7" xfId="0" applyFont="1" applyBorder="1" applyAlignment="1">
      <alignment horizontal="right" vertical="center"/>
    </xf>
    <xf numFmtId="0" fontId="27" fillId="0" borderId="4" xfId="0" applyFont="1" applyBorder="1" applyAlignment="1">
      <alignment horizontal="right" vertical="center"/>
    </xf>
    <xf numFmtId="0" fontId="27" fillId="0" borderId="5" xfId="0" applyFont="1" applyBorder="1" applyAlignment="1">
      <alignment horizontal="right" vertical="center"/>
    </xf>
    <xf numFmtId="0" fontId="27" fillId="27" borderId="0" xfId="0" applyFont="1" applyFill="1" applyBorder="1" applyAlignment="1">
      <alignment vertical="center"/>
    </xf>
    <xf numFmtId="0" fontId="27" fillId="0" borderId="19" xfId="0" applyFont="1" applyBorder="1" applyAlignment="1">
      <alignment horizontal="right" vertical="center"/>
    </xf>
    <xf numFmtId="0" fontId="27" fillId="0" borderId="8" xfId="0" applyFont="1" applyBorder="1" applyAlignment="1">
      <alignment horizontal="right" vertical="center"/>
    </xf>
    <xf numFmtId="0" fontId="27" fillId="0" borderId="3" xfId="0" applyFont="1" applyBorder="1" applyAlignment="1">
      <alignment horizontal="right" vertical="center"/>
    </xf>
    <xf numFmtId="0" fontId="27" fillId="0" borderId="6" xfId="0" applyFont="1" applyBorder="1" applyAlignment="1">
      <alignment horizontal="right" vertical="center"/>
    </xf>
    <xf numFmtId="0" fontId="27" fillId="0" borderId="0" xfId="0" applyFont="1" applyAlignment="1">
      <alignment horizontal="right" vertical="center"/>
    </xf>
    <xf numFmtId="0" fontId="26" fillId="14" borderId="20" xfId="0" applyNumberFormat="1" applyFont="1" applyFill="1" applyBorder="1" applyProtection="1">
      <protection locked="0" hidden="1"/>
    </xf>
    <xf numFmtId="49" fontId="29" fillId="12" borderId="60" xfId="0" applyNumberFormat="1" applyFont="1" applyFill="1" applyBorder="1" applyAlignment="1" applyProtection="1">
      <alignment vertical="center"/>
    </xf>
    <xf numFmtId="0" fontId="26" fillId="14" borderId="21" xfId="0" applyNumberFormat="1" applyFont="1" applyFill="1" applyBorder="1" applyProtection="1">
      <protection locked="0" hidden="1"/>
    </xf>
    <xf numFmtId="0" fontId="26" fillId="14" borderId="22" xfId="0" applyNumberFormat="1" applyFont="1" applyFill="1" applyBorder="1" applyProtection="1">
      <protection locked="0" hidden="1"/>
    </xf>
    <xf numFmtId="0" fontId="27" fillId="29" borderId="0" xfId="0" applyFont="1" applyFill="1" applyAlignment="1">
      <alignment vertical="center"/>
    </xf>
    <xf numFmtId="0" fontId="44" fillId="0" borderId="49" xfId="0" applyFont="1" applyBorder="1" applyAlignment="1">
      <alignment horizontal="center" vertical="center"/>
    </xf>
    <xf numFmtId="0" fontId="27" fillId="0" borderId="20" xfId="0" applyFont="1" applyBorder="1" applyAlignment="1">
      <alignment vertical="center"/>
    </xf>
    <xf numFmtId="0" fontId="27" fillId="0" borderId="21" xfId="0" applyFont="1" applyBorder="1" applyAlignment="1">
      <alignment vertical="center"/>
    </xf>
    <xf numFmtId="0" fontId="27" fillId="0" borderId="22" xfId="0" applyFont="1" applyBorder="1" applyAlignment="1">
      <alignment vertical="center"/>
    </xf>
    <xf numFmtId="0" fontId="28" fillId="0" borderId="21" xfId="0" applyFont="1" applyBorder="1" applyAlignment="1">
      <alignment vertical="center"/>
    </xf>
    <xf numFmtId="0" fontId="28" fillId="0" borderId="30" xfId="0" applyFont="1" applyBorder="1" applyAlignment="1">
      <alignment vertical="center"/>
    </xf>
    <xf numFmtId="0" fontId="28" fillId="0" borderId="22" xfId="0" applyFont="1" applyBorder="1" applyAlignment="1">
      <alignment vertical="center"/>
    </xf>
    <xf numFmtId="0" fontId="45" fillId="0" borderId="18" xfId="0" applyFont="1" applyBorder="1" applyAlignment="1">
      <alignment horizontal="center" vertical="center" wrapText="1"/>
    </xf>
    <xf numFmtId="0" fontId="27" fillId="0" borderId="44" xfId="0" applyFont="1" applyBorder="1" applyAlignment="1">
      <alignment horizontal="right" vertical="center"/>
    </xf>
    <xf numFmtId="0" fontId="27" fillId="0" borderId="32" xfId="0" applyFont="1" applyBorder="1" applyAlignment="1">
      <alignment horizontal="right" vertical="center"/>
    </xf>
    <xf numFmtId="0" fontId="27" fillId="0" borderId="18" xfId="0" applyFont="1" applyBorder="1" applyAlignment="1">
      <alignment horizontal="center" vertical="center"/>
    </xf>
    <xf numFmtId="0" fontId="27" fillId="0" borderId="23" xfId="0" applyFont="1" applyBorder="1" applyAlignment="1">
      <alignment horizontal="right" vertical="center"/>
    </xf>
    <xf numFmtId="0" fontId="27" fillId="0" borderId="43" xfId="0" applyFont="1" applyBorder="1" applyAlignment="1">
      <alignment horizontal="right" vertical="center"/>
    </xf>
    <xf numFmtId="0" fontId="27" fillId="0" borderId="61" xfId="0" applyFont="1" applyBorder="1" applyAlignment="1">
      <alignment horizontal="right" vertical="center"/>
    </xf>
    <xf numFmtId="0" fontId="27" fillId="0" borderId="24" xfId="0" applyFont="1" applyBorder="1" applyAlignment="1">
      <alignment horizontal="right" vertical="center"/>
    </xf>
    <xf numFmtId="0" fontId="32" fillId="0" borderId="0" xfId="0" applyFont="1" applyProtection="1">
      <protection hidden="1"/>
    </xf>
    <xf numFmtId="3" fontId="23" fillId="0" borderId="0" xfId="0" applyNumberFormat="1" applyFont="1" applyFill="1" applyBorder="1" applyAlignment="1" applyProtection="1">
      <alignment vertical="center" wrapText="1"/>
      <protection hidden="1"/>
    </xf>
    <xf numFmtId="0" fontId="21" fillId="0" borderId="0" xfId="0" applyNumberFormat="1" applyFont="1" applyFill="1" applyBorder="1" applyAlignment="1" applyProtection="1">
      <alignment vertical="center"/>
      <protection hidden="1"/>
    </xf>
    <xf numFmtId="3" fontId="29" fillId="15" borderId="58" xfId="0" applyNumberFormat="1" applyFont="1" applyFill="1" applyBorder="1" applyAlignment="1" applyProtection="1">
      <alignment vertical="center" wrapText="1"/>
      <protection hidden="1"/>
    </xf>
    <xf numFmtId="3" fontId="29" fillId="12" borderId="84" xfId="0" applyNumberFormat="1" applyFont="1" applyFill="1" applyBorder="1" applyAlignment="1" applyProtection="1">
      <alignment vertical="center" wrapText="1"/>
    </xf>
    <xf numFmtId="49" fontId="26" fillId="14" borderId="13" xfId="0" applyNumberFormat="1" applyFont="1" applyFill="1" applyBorder="1" applyAlignment="1" applyProtection="1">
      <alignment vertical="center"/>
      <protection locked="0" hidden="1"/>
    </xf>
    <xf numFmtId="49" fontId="26" fillId="14" borderId="4" xfId="0" applyNumberFormat="1" applyFont="1" applyFill="1" applyBorder="1" applyAlignment="1" applyProtection="1">
      <alignment vertical="center"/>
      <protection locked="0" hidden="1"/>
    </xf>
    <xf numFmtId="49" fontId="26" fillId="14" borderId="3" xfId="0" applyNumberFormat="1" applyFont="1" applyFill="1" applyBorder="1" applyAlignment="1" applyProtection="1">
      <alignment vertical="center"/>
      <protection locked="0" hidden="1"/>
    </xf>
    <xf numFmtId="0" fontId="29" fillId="12" borderId="85" xfId="0" applyFont="1" applyFill="1" applyBorder="1" applyAlignment="1" applyProtection="1">
      <alignment horizontal="right" vertical="center"/>
    </xf>
    <xf numFmtId="3" fontId="31" fillId="0" borderId="0" xfId="0" applyNumberFormat="1" applyFont="1" applyFill="1" applyBorder="1" applyAlignment="1" applyProtection="1">
      <alignment horizontal="center" vertical="center"/>
    </xf>
    <xf numFmtId="3" fontId="31" fillId="0" borderId="0" xfId="0" applyNumberFormat="1" applyFont="1" applyFill="1" applyBorder="1" applyAlignment="1" applyProtection="1">
      <alignment vertical="center"/>
    </xf>
    <xf numFmtId="0" fontId="31" fillId="0" borderId="0" xfId="0" applyFont="1" applyAlignment="1" applyProtection="1">
      <alignment vertical="center"/>
      <protection hidden="1"/>
    </xf>
    <xf numFmtId="0" fontId="31" fillId="0" borderId="11" xfId="0" applyNumberFormat="1" applyFont="1" applyFill="1" applyBorder="1" applyAlignment="1" applyProtection="1">
      <alignment vertical="center" wrapText="1"/>
    </xf>
    <xf numFmtId="0" fontId="31" fillId="0" borderId="14" xfId="0" applyNumberFormat="1" applyFont="1" applyFill="1" applyBorder="1" applyAlignment="1" applyProtection="1">
      <alignment vertical="center"/>
    </xf>
    <xf numFmtId="0" fontId="31" fillId="0" borderId="0" xfId="0" applyFont="1" applyProtection="1">
      <protection hidden="1"/>
    </xf>
    <xf numFmtId="0" fontId="31" fillId="0" borderId="8" xfId="0" applyNumberFormat="1" applyFont="1" applyFill="1" applyBorder="1" applyAlignment="1" applyProtection="1">
      <alignment vertical="top" wrapText="1"/>
    </xf>
    <xf numFmtId="0" fontId="31" fillId="0" borderId="6" xfId="0" applyNumberFormat="1" applyFont="1" applyFill="1" applyBorder="1" applyAlignment="1" applyProtection="1">
      <alignment vertical="center"/>
    </xf>
    <xf numFmtId="0" fontId="36" fillId="0" borderId="48" xfId="15" applyFont="1" applyBorder="1" applyAlignment="1">
      <alignment vertical="top"/>
    </xf>
    <xf numFmtId="0" fontId="36" fillId="0" borderId="48" xfId="15" applyFont="1" applyBorder="1" applyAlignment="1">
      <alignment vertical="center"/>
    </xf>
    <xf numFmtId="0" fontId="47" fillId="0" borderId="48" xfId="15" applyFont="1" applyBorder="1" applyAlignment="1">
      <alignment vertical="top"/>
    </xf>
    <xf numFmtId="0" fontId="36" fillId="0" borderId="48" xfId="15" applyFont="1" applyBorder="1" applyAlignment="1">
      <alignment vertical="top" wrapText="1"/>
    </xf>
    <xf numFmtId="0" fontId="49" fillId="0" borderId="48" xfId="15" applyFont="1" applyBorder="1" applyAlignment="1">
      <alignment vertical="top"/>
    </xf>
    <xf numFmtId="0" fontId="50" fillId="0" borderId="48" xfId="15" applyFont="1" applyBorder="1" applyAlignment="1">
      <alignment vertical="top"/>
    </xf>
    <xf numFmtId="0" fontId="55" fillId="0" borderId="48" xfId="15" applyFont="1" applyBorder="1" applyAlignment="1">
      <alignment vertical="top"/>
    </xf>
    <xf numFmtId="0" fontId="49" fillId="0" borderId="48" xfId="15" applyFont="1" applyBorder="1" applyAlignment="1">
      <alignment vertical="top" wrapText="1"/>
    </xf>
    <xf numFmtId="0" fontId="53" fillId="0" borderId="48" xfId="15" applyFont="1" applyBorder="1" applyAlignment="1">
      <alignment vertical="center"/>
    </xf>
    <xf numFmtId="0" fontId="49" fillId="0" borderId="48" xfId="15" applyFont="1" applyBorder="1" applyAlignment="1">
      <alignment vertical="center"/>
    </xf>
    <xf numFmtId="0" fontId="58" fillId="0" borderId="48" xfId="15" applyFont="1" applyBorder="1" applyAlignment="1">
      <alignment vertical="top"/>
    </xf>
    <xf numFmtId="0" fontId="59" fillId="0" borderId="48" xfId="15" applyFont="1" applyBorder="1" applyAlignment="1">
      <alignment vertical="top"/>
    </xf>
    <xf numFmtId="0" fontId="32" fillId="0" borderId="37" xfId="0" applyFont="1" applyFill="1" applyBorder="1" applyAlignment="1">
      <alignment horizontal="center" vertical="center" wrapText="1"/>
    </xf>
    <xf numFmtId="0" fontId="27" fillId="0" borderId="0" xfId="0" applyFont="1" applyFill="1" applyAlignment="1">
      <alignment vertical="center"/>
    </xf>
    <xf numFmtId="0" fontId="31" fillId="0" borderId="39" xfId="0" applyFont="1" applyFill="1" applyBorder="1" applyAlignment="1">
      <alignment horizontal="center" vertical="center" wrapText="1"/>
    </xf>
    <xf numFmtId="0" fontId="31" fillId="0" borderId="40" xfId="0" applyFont="1" applyFill="1" applyBorder="1" applyAlignment="1">
      <alignment horizontal="center" vertical="center" wrapText="1"/>
    </xf>
    <xf numFmtId="0" fontId="27" fillId="0" borderId="23" xfId="0" applyFont="1" applyFill="1" applyBorder="1" applyAlignment="1">
      <alignment vertical="center" wrapText="1"/>
    </xf>
    <xf numFmtId="0" fontId="31" fillId="0" borderId="24" xfId="0" applyFont="1" applyFill="1" applyBorder="1" applyAlignment="1">
      <alignment vertical="center"/>
    </xf>
    <xf numFmtId="0" fontId="27" fillId="0" borderId="0" xfId="0" applyFont="1" applyFill="1" applyAlignment="1">
      <alignment horizontal="center" vertical="center"/>
    </xf>
    <xf numFmtId="0" fontId="27" fillId="0" borderId="25" xfId="0" applyFont="1" applyFill="1" applyBorder="1" applyAlignment="1">
      <alignment horizontal="center" vertical="center" wrapText="1"/>
    </xf>
    <xf numFmtId="0" fontId="31" fillId="0" borderId="26" xfId="0" applyFont="1" applyFill="1" applyBorder="1" applyAlignment="1">
      <alignment vertical="center"/>
    </xf>
    <xf numFmtId="0" fontId="27" fillId="0" borderId="38" xfId="0" applyFont="1" applyFill="1" applyBorder="1" applyAlignment="1">
      <alignment horizontal="center" vertical="center"/>
    </xf>
    <xf numFmtId="0" fontId="27" fillId="0" borderId="57" xfId="0" applyFont="1" applyFill="1" applyBorder="1" applyAlignment="1">
      <alignment horizontal="center" vertical="center" wrapText="1"/>
    </xf>
    <xf numFmtId="0" fontId="31" fillId="0" borderId="13" xfId="0" applyFont="1" applyFill="1" applyBorder="1" applyAlignment="1">
      <alignment vertical="center"/>
    </xf>
    <xf numFmtId="0" fontId="31" fillId="0" borderId="86" xfId="0" applyFont="1" applyFill="1" applyBorder="1" applyAlignment="1">
      <alignment vertical="center"/>
    </xf>
    <xf numFmtId="0" fontId="31" fillId="0" borderId="65" xfId="0" applyFont="1" applyFill="1" applyBorder="1" applyAlignment="1">
      <alignment vertical="center"/>
    </xf>
    <xf numFmtId="0" fontId="27" fillId="0" borderId="10" xfId="0" applyFont="1" applyFill="1" applyBorder="1" applyAlignment="1">
      <alignment vertical="center" wrapText="1"/>
    </xf>
    <xf numFmtId="0" fontId="31" fillId="0" borderId="6" xfId="0" applyFont="1" applyFill="1" applyBorder="1" applyAlignment="1">
      <alignment vertical="center"/>
    </xf>
    <xf numFmtId="0" fontId="27" fillId="0" borderId="0" xfId="0" applyFont="1" applyFill="1" applyAlignment="1">
      <alignment vertical="center" wrapText="1"/>
    </xf>
    <xf numFmtId="0" fontId="27" fillId="0" borderId="11" xfId="0" applyFont="1" applyFill="1" applyBorder="1" applyAlignment="1">
      <alignment vertical="center"/>
    </xf>
    <xf numFmtId="0" fontId="27" fillId="0" borderId="14" xfId="0" applyFont="1" applyFill="1" applyBorder="1" applyAlignment="1">
      <alignment vertical="center"/>
    </xf>
    <xf numFmtId="0" fontId="31" fillId="0" borderId="4" xfId="0" applyFont="1" applyFill="1" applyBorder="1" applyAlignment="1">
      <alignment vertical="center"/>
    </xf>
    <xf numFmtId="0" fontId="31" fillId="0" borderId="5" xfId="0" applyFont="1" applyFill="1" applyBorder="1" applyAlignment="1">
      <alignment vertical="center"/>
    </xf>
    <xf numFmtId="0" fontId="27" fillId="0" borderId="7" xfId="0" applyFont="1" applyFill="1" applyBorder="1" applyAlignment="1">
      <alignment vertical="center"/>
    </xf>
    <xf numFmtId="0" fontId="27" fillId="0" borderId="5" xfId="0" applyFont="1" applyFill="1" applyBorder="1" applyAlignment="1">
      <alignment vertical="center"/>
    </xf>
    <xf numFmtId="0" fontId="27" fillId="0" borderId="43" xfId="0" applyFont="1" applyFill="1" applyBorder="1" applyAlignment="1">
      <alignment vertical="center" wrapText="1"/>
    </xf>
    <xf numFmtId="0" fontId="27" fillId="0" borderId="8" xfId="0" applyFont="1" applyFill="1" applyBorder="1" applyAlignment="1">
      <alignment vertical="center"/>
    </xf>
    <xf numFmtId="0" fontId="27" fillId="0" borderId="6" xfId="0" applyFont="1" applyFill="1" applyBorder="1" applyAlignment="1">
      <alignment vertical="center"/>
    </xf>
    <xf numFmtId="0" fontId="27" fillId="0" borderId="0" xfId="0" applyFont="1" applyFill="1" applyBorder="1" applyAlignment="1">
      <alignment vertical="center"/>
    </xf>
    <xf numFmtId="0" fontId="31" fillId="0" borderId="3" xfId="0" applyFont="1" applyFill="1" applyBorder="1" applyAlignment="1">
      <alignment vertical="center"/>
    </xf>
    <xf numFmtId="0" fontId="27" fillId="30" borderId="0" xfId="0" applyFont="1" applyFill="1" applyAlignment="1">
      <alignment vertical="center"/>
    </xf>
    <xf numFmtId="0" fontId="10" fillId="14" borderId="104" xfId="0" applyNumberFormat="1" applyFont="1" applyFill="1" applyBorder="1" applyAlignment="1" applyProtection="1">
      <alignment vertical="center"/>
      <protection locked="0" hidden="1"/>
    </xf>
    <xf numFmtId="0" fontId="3" fillId="23" borderId="46" xfId="0" applyFont="1" applyFill="1" applyBorder="1" applyAlignment="1">
      <alignment vertical="center"/>
    </xf>
    <xf numFmtId="0" fontId="27" fillId="0" borderId="23" xfId="0" applyFont="1" applyFill="1" applyBorder="1" applyAlignment="1">
      <alignment vertical="center"/>
    </xf>
    <xf numFmtId="0" fontId="27" fillId="0" borderId="24" xfId="0" applyFont="1" applyFill="1" applyBorder="1" applyAlignment="1">
      <alignment vertical="center"/>
    </xf>
    <xf numFmtId="0" fontId="32" fillId="0" borderId="0" xfId="0" applyFont="1" applyAlignment="1" applyProtection="1">
      <alignment horizontal="right"/>
      <protection hidden="1"/>
    </xf>
    <xf numFmtId="3" fontId="29" fillId="0" borderId="0" xfId="0" applyNumberFormat="1" applyFont="1" applyAlignment="1" applyProtection="1">
      <alignment horizontal="center"/>
      <protection hidden="1"/>
    </xf>
    <xf numFmtId="3" fontId="29" fillId="12" borderId="60" xfId="0" applyNumberFormat="1" applyFont="1" applyFill="1" applyBorder="1" applyAlignment="1" applyProtection="1">
      <alignment vertical="center" wrapText="1"/>
    </xf>
    <xf numFmtId="49" fontId="26" fillId="14" borderId="105" xfId="0" applyNumberFormat="1" applyFont="1" applyFill="1" applyBorder="1" applyAlignment="1" applyProtection="1">
      <alignment vertical="center"/>
      <protection locked="0" hidden="1"/>
    </xf>
    <xf numFmtId="49" fontId="26" fillId="14" borderId="106" xfId="0" applyNumberFormat="1" applyFont="1" applyFill="1" applyBorder="1" applyAlignment="1" applyProtection="1">
      <alignment vertical="center"/>
      <protection locked="0" hidden="1"/>
    </xf>
    <xf numFmtId="166" fontId="37" fillId="0" borderId="0" xfId="14" applyNumberFormat="1" applyFont="1"/>
    <xf numFmtId="166" fontId="39" fillId="0" borderId="0" xfId="14" applyNumberFormat="1" applyFont="1"/>
    <xf numFmtId="166" fontId="37" fillId="0" borderId="4" xfId="14" applyNumberFormat="1" applyFont="1" applyFill="1" applyBorder="1" applyAlignment="1" applyProtection="1">
      <alignment horizontal="center" vertical="center"/>
      <protection locked="0"/>
    </xf>
    <xf numFmtId="166" fontId="41" fillId="0" borderId="0" xfId="14" applyNumberFormat="1"/>
    <xf numFmtId="0" fontId="37" fillId="0" borderId="9" xfId="14" applyFont="1" applyFill="1" applyBorder="1"/>
    <xf numFmtId="0" fontId="37" fillId="0" borderId="40" xfId="14" applyFont="1" applyFill="1" applyBorder="1" applyAlignment="1">
      <alignment horizontal="center"/>
    </xf>
    <xf numFmtId="3" fontId="26" fillId="16" borderId="20" xfId="0" applyNumberFormat="1" applyFont="1" applyFill="1" applyBorder="1" applyAlignment="1" applyProtection="1">
      <alignment horizontal="center" vertical="center"/>
      <protection locked="0"/>
    </xf>
    <xf numFmtId="3" fontId="26" fillId="16" borderId="34" xfId="0" applyNumberFormat="1" applyFont="1" applyFill="1" applyBorder="1" applyAlignment="1" applyProtection="1">
      <alignment vertical="center"/>
      <protection locked="0"/>
    </xf>
    <xf numFmtId="3" fontId="26" fillId="12" borderId="34" xfId="0" applyNumberFormat="1" applyFont="1" applyFill="1" applyBorder="1" applyAlignment="1" applyProtection="1">
      <alignment horizontal="center" vertical="center"/>
      <protection locked="0"/>
    </xf>
    <xf numFmtId="3" fontId="26" fillId="12" borderId="11" xfId="0" applyNumberFormat="1" applyFont="1" applyFill="1" applyBorder="1" applyAlignment="1" applyProtection="1">
      <alignment horizontal="center" vertical="center"/>
      <protection locked="0"/>
    </xf>
    <xf numFmtId="3" fontId="26" fillId="16" borderId="105" xfId="0" applyNumberFormat="1" applyFont="1" applyFill="1" applyBorder="1" applyAlignment="1" applyProtection="1">
      <alignment horizontal="center" vertical="center"/>
      <protection locked="0"/>
    </xf>
    <xf numFmtId="3" fontId="26" fillId="16" borderId="35" xfId="0" applyNumberFormat="1" applyFont="1" applyFill="1" applyBorder="1" applyAlignment="1" applyProtection="1">
      <alignment vertical="center"/>
      <protection locked="0"/>
    </xf>
    <xf numFmtId="3" fontId="26" fillId="12" borderId="35" xfId="0" applyNumberFormat="1" applyFont="1" applyFill="1" applyBorder="1" applyAlignment="1" applyProtection="1">
      <alignment horizontal="center" vertical="center"/>
      <protection locked="0"/>
    </xf>
    <xf numFmtId="3" fontId="26" fillId="12" borderId="7" xfId="0" applyNumberFormat="1" applyFont="1" applyFill="1" applyBorder="1" applyAlignment="1" applyProtection="1">
      <alignment horizontal="center" vertical="center"/>
      <protection locked="0"/>
    </xf>
    <xf numFmtId="3" fontId="26" fillId="16" borderId="21" xfId="0" applyNumberFormat="1" applyFont="1" applyFill="1" applyBorder="1" applyAlignment="1" applyProtection="1">
      <alignment horizontal="center" vertical="center"/>
      <protection locked="0"/>
    </xf>
    <xf numFmtId="3" fontId="26" fillId="16" borderId="22" xfId="0" applyNumberFormat="1" applyFont="1" applyFill="1" applyBorder="1" applyAlignment="1" applyProtection="1">
      <alignment horizontal="center" vertical="center"/>
      <protection locked="0"/>
    </xf>
    <xf numFmtId="3" fontId="26" fillId="16" borderId="36" xfId="0" applyNumberFormat="1" applyFont="1" applyFill="1" applyBorder="1" applyAlignment="1" applyProtection="1">
      <alignment vertical="center"/>
      <protection locked="0"/>
    </xf>
    <xf numFmtId="3" fontId="26" fillId="12" borderId="36" xfId="0" applyNumberFormat="1" applyFont="1" applyFill="1" applyBorder="1" applyAlignment="1" applyProtection="1">
      <alignment horizontal="center" vertical="center"/>
      <protection locked="0"/>
    </xf>
    <xf numFmtId="3" fontId="26" fillId="12" borderId="8" xfId="0" applyNumberFormat="1" applyFont="1" applyFill="1" applyBorder="1" applyAlignment="1" applyProtection="1">
      <alignment horizontal="center" vertical="center"/>
      <protection locked="0"/>
    </xf>
    <xf numFmtId="3" fontId="26" fillId="16" borderId="106" xfId="0" applyNumberFormat="1" applyFont="1" applyFill="1" applyBorder="1" applyAlignment="1" applyProtection="1">
      <alignment horizontal="center" vertical="center"/>
      <protection locked="0"/>
    </xf>
    <xf numFmtId="3" fontId="26" fillId="16" borderId="107" xfId="0" applyNumberFormat="1" applyFont="1" applyFill="1" applyBorder="1" applyAlignment="1" applyProtection="1">
      <alignment vertical="center"/>
      <protection locked="0"/>
    </xf>
    <xf numFmtId="0" fontId="26" fillId="15" borderId="108" xfId="0" applyNumberFormat="1" applyFont="1" applyFill="1" applyBorder="1" applyAlignment="1" applyProtection="1">
      <alignment vertical="center"/>
      <protection hidden="1"/>
    </xf>
    <xf numFmtId="3" fontId="26" fillId="12" borderId="107" xfId="0" applyNumberFormat="1" applyFont="1" applyFill="1" applyBorder="1" applyAlignment="1" applyProtection="1">
      <alignment horizontal="center" vertical="center"/>
      <protection locked="0"/>
    </xf>
    <xf numFmtId="49" fontId="26" fillId="14" borderId="109" xfId="0" applyNumberFormat="1" applyFont="1" applyFill="1" applyBorder="1" applyAlignment="1" applyProtection="1">
      <alignment vertical="center"/>
      <protection locked="0" hidden="1"/>
    </xf>
    <xf numFmtId="49" fontId="26" fillId="14" borderId="110" xfId="0" applyNumberFormat="1" applyFont="1" applyFill="1" applyBorder="1" applyAlignment="1" applyProtection="1">
      <alignment vertical="center"/>
      <protection locked="0" hidden="1"/>
    </xf>
    <xf numFmtId="3" fontId="26" fillId="15" borderId="108" xfId="0" applyNumberFormat="1" applyFont="1" applyFill="1" applyBorder="1" applyAlignment="1" applyProtection="1">
      <alignment vertical="center"/>
      <protection hidden="1"/>
    </xf>
    <xf numFmtId="3" fontId="26" fillId="15" borderId="109" xfId="0" applyNumberFormat="1" applyFont="1" applyFill="1" applyBorder="1" applyAlignment="1" applyProtection="1">
      <alignment vertical="center"/>
      <protection hidden="1"/>
    </xf>
    <xf numFmtId="3" fontId="26" fillId="15" borderId="111" xfId="0" applyNumberFormat="1" applyFont="1" applyFill="1" applyBorder="1" applyAlignment="1" applyProtection="1">
      <alignment vertical="center"/>
      <protection hidden="1"/>
    </xf>
    <xf numFmtId="3" fontId="26" fillId="15" borderId="112" xfId="0" applyNumberFormat="1" applyFont="1" applyFill="1" applyBorder="1" applyAlignment="1" applyProtection="1">
      <alignment vertical="center"/>
      <protection hidden="1"/>
    </xf>
    <xf numFmtId="3" fontId="26" fillId="12" borderId="109" xfId="0" applyNumberFormat="1" applyFont="1" applyFill="1" applyBorder="1" applyAlignment="1" applyProtection="1">
      <alignment horizontal="center" vertical="center"/>
      <protection locked="0"/>
    </xf>
    <xf numFmtId="3" fontId="26" fillId="16" borderId="34" xfId="0" applyNumberFormat="1" applyFont="1" applyFill="1" applyBorder="1" applyAlignment="1" applyProtection="1">
      <alignment horizontal="center" vertical="center"/>
      <protection locked="0"/>
    </xf>
    <xf numFmtId="3" fontId="26" fillId="16" borderId="15" xfId="0" applyNumberFormat="1" applyFont="1" applyFill="1" applyBorder="1" applyAlignment="1" applyProtection="1">
      <alignment horizontal="center" vertical="center"/>
      <protection locked="0"/>
    </xf>
    <xf numFmtId="3" fontId="26" fillId="16" borderId="35" xfId="0" applyNumberFormat="1" applyFont="1" applyFill="1" applyBorder="1" applyAlignment="1" applyProtection="1">
      <alignment horizontal="center" vertical="center"/>
      <protection locked="0"/>
    </xf>
    <xf numFmtId="3" fontId="26" fillId="16" borderId="16" xfId="0" applyNumberFormat="1" applyFont="1" applyFill="1" applyBorder="1" applyAlignment="1" applyProtection="1">
      <alignment horizontal="center" vertical="center"/>
      <protection locked="0"/>
    </xf>
    <xf numFmtId="3" fontId="26" fillId="16" borderId="107" xfId="0" applyNumberFormat="1" applyFont="1" applyFill="1" applyBorder="1" applyAlignment="1" applyProtection="1">
      <alignment horizontal="center" vertical="center"/>
      <protection locked="0"/>
    </xf>
    <xf numFmtId="3" fontId="26" fillId="16" borderId="108" xfId="0" applyNumberFormat="1" applyFont="1" applyFill="1" applyBorder="1" applyAlignment="1" applyProtection="1">
      <alignment horizontal="center" vertical="center"/>
      <protection locked="0"/>
    </xf>
    <xf numFmtId="49" fontId="0" fillId="16" borderId="20" xfId="0" applyNumberFormat="1" applyFont="1" applyFill="1" applyBorder="1" applyProtection="1">
      <protection locked="0"/>
    </xf>
    <xf numFmtId="165" fontId="26" fillId="16" borderId="20" xfId="0" applyNumberFormat="1" applyFont="1" applyFill="1" applyBorder="1" applyAlignment="1" applyProtection="1">
      <alignment horizontal="center" vertical="center"/>
      <protection locked="0"/>
    </xf>
    <xf numFmtId="0" fontId="26" fillId="16" borderId="20" xfId="0" applyNumberFormat="1" applyFont="1" applyFill="1" applyBorder="1" applyAlignment="1" applyProtection="1">
      <alignment vertical="center"/>
      <protection locked="0"/>
    </xf>
    <xf numFmtId="49" fontId="26" fillId="16" borderId="105" xfId="0" applyNumberFormat="1" applyFont="1" applyFill="1" applyBorder="1" applyProtection="1">
      <protection locked="0"/>
    </xf>
    <xf numFmtId="165" fontId="26" fillId="16" borderId="105" xfId="0" applyNumberFormat="1" applyFont="1" applyFill="1" applyBorder="1" applyAlignment="1" applyProtection="1">
      <alignment horizontal="center" vertical="center"/>
      <protection locked="0"/>
    </xf>
    <xf numFmtId="0" fontId="26" fillId="16" borderId="105" xfId="0" applyNumberFormat="1" applyFont="1" applyFill="1" applyBorder="1" applyAlignment="1" applyProtection="1">
      <alignment vertical="center"/>
      <protection locked="0"/>
    </xf>
    <xf numFmtId="3" fontId="26" fillId="15" borderId="105" xfId="0" applyNumberFormat="1" applyFont="1" applyFill="1" applyBorder="1" applyAlignment="1" applyProtection="1">
      <alignment vertical="center"/>
      <protection hidden="1"/>
    </xf>
    <xf numFmtId="49" fontId="26" fillId="16" borderId="106" xfId="0" applyNumberFormat="1" applyFont="1" applyFill="1" applyBorder="1" applyProtection="1">
      <protection locked="0"/>
    </xf>
    <xf numFmtId="165" fontId="26" fillId="16" borderId="106" xfId="0" applyNumberFormat="1" applyFont="1" applyFill="1" applyBorder="1" applyAlignment="1" applyProtection="1">
      <alignment horizontal="center" vertical="center"/>
      <protection locked="0"/>
    </xf>
    <xf numFmtId="0" fontId="26" fillId="16" borderId="106" xfId="0" applyNumberFormat="1" applyFont="1" applyFill="1" applyBorder="1" applyAlignment="1" applyProtection="1">
      <alignment vertical="center"/>
      <protection locked="0"/>
    </xf>
    <xf numFmtId="3" fontId="26" fillId="15" borderId="106" xfId="0" applyNumberFormat="1" applyFont="1" applyFill="1" applyBorder="1" applyAlignment="1" applyProtection="1">
      <alignment vertical="center"/>
      <protection hidden="1"/>
    </xf>
    <xf numFmtId="49" fontId="0" fillId="16" borderId="20" xfId="0" applyNumberFormat="1" applyFont="1" applyFill="1" applyBorder="1" applyAlignment="1" applyProtection="1">
      <alignment vertical="center"/>
      <protection locked="0"/>
    </xf>
    <xf numFmtId="3" fontId="26" fillId="0" borderId="11" xfId="0" applyNumberFormat="1" applyFont="1" applyFill="1" applyBorder="1" applyAlignment="1" applyProtection="1">
      <alignment vertical="center"/>
      <protection locked="0"/>
    </xf>
    <xf numFmtId="3" fontId="26" fillId="0" borderId="13" xfId="0" applyNumberFormat="1" applyFont="1" applyFill="1" applyBorder="1" applyAlignment="1" applyProtection="1">
      <alignment vertical="center"/>
      <protection locked="0"/>
    </xf>
    <xf numFmtId="49" fontId="26" fillId="16" borderId="105" xfId="0" applyNumberFormat="1" applyFont="1" applyFill="1" applyBorder="1" applyAlignment="1" applyProtection="1">
      <alignment vertical="center"/>
      <protection locked="0"/>
    </xf>
    <xf numFmtId="3" fontId="26" fillId="0" borderId="7" xfId="0" applyNumberFormat="1" applyFont="1" applyFill="1" applyBorder="1" applyAlignment="1" applyProtection="1">
      <alignment vertical="center"/>
      <protection locked="0"/>
    </xf>
    <xf numFmtId="3" fontId="26" fillId="0" borderId="4" xfId="0" applyNumberFormat="1" applyFont="1" applyFill="1" applyBorder="1" applyAlignment="1" applyProtection="1">
      <alignment vertical="center"/>
      <protection locked="0"/>
    </xf>
    <xf numFmtId="49" fontId="20" fillId="16" borderId="105" xfId="0" applyNumberFormat="1" applyFont="1" applyFill="1" applyBorder="1" applyAlignment="1" applyProtection="1">
      <alignment vertical="center"/>
      <protection locked="0"/>
    </xf>
    <xf numFmtId="49" fontId="26" fillId="16" borderId="106" xfId="0" applyNumberFormat="1" applyFont="1" applyFill="1" applyBorder="1" applyAlignment="1" applyProtection="1">
      <alignment vertical="center"/>
      <protection locked="0"/>
    </xf>
    <xf numFmtId="3" fontId="26" fillId="0" borderId="109" xfId="0" applyNumberFormat="1" applyFont="1" applyFill="1" applyBorder="1" applyAlignment="1" applyProtection="1">
      <alignment vertical="center"/>
      <protection locked="0"/>
    </xf>
    <xf numFmtId="3" fontId="26" fillId="15" borderId="110" xfId="0" applyNumberFormat="1" applyFont="1" applyFill="1" applyBorder="1" applyAlignment="1" applyProtection="1">
      <alignment vertical="center"/>
      <protection hidden="1"/>
    </xf>
    <xf numFmtId="3" fontId="26" fillId="0" borderId="110" xfId="0" applyNumberFormat="1" applyFont="1" applyFill="1" applyBorder="1" applyAlignment="1" applyProtection="1">
      <alignment vertical="center"/>
      <protection locked="0"/>
    </xf>
    <xf numFmtId="49" fontId="0" fillId="16" borderId="20" xfId="0" applyNumberFormat="1" applyFont="1" applyFill="1" applyBorder="1" applyAlignment="1" applyProtection="1">
      <alignment horizontal="center" vertical="center"/>
      <protection locked="0"/>
    </xf>
    <xf numFmtId="0" fontId="26" fillId="16" borderId="20" xfId="0" applyNumberFormat="1" applyFont="1" applyFill="1" applyBorder="1" applyAlignment="1" applyProtection="1">
      <alignment horizontal="center" vertical="center"/>
      <protection locked="0"/>
    </xf>
    <xf numFmtId="49" fontId="26" fillId="16" borderId="105" xfId="0" applyNumberFormat="1" applyFont="1" applyFill="1" applyBorder="1" applyAlignment="1" applyProtection="1">
      <alignment horizontal="center" vertical="center"/>
      <protection locked="0"/>
    </xf>
    <xf numFmtId="0" fontId="29" fillId="14" borderId="105" xfId="0" applyFont="1" applyFill="1" applyBorder="1" applyAlignment="1" applyProtection="1">
      <alignment horizontal="left"/>
      <protection locked="0" hidden="1"/>
    </xf>
    <xf numFmtId="49" fontId="26" fillId="14" borderId="105" xfId="0" applyNumberFormat="1" applyFont="1" applyFill="1" applyBorder="1" applyProtection="1">
      <protection locked="0" hidden="1"/>
    </xf>
    <xf numFmtId="0" fontId="26" fillId="16" borderId="105" xfId="0" applyNumberFormat="1" applyFont="1" applyFill="1" applyBorder="1" applyAlignment="1" applyProtection="1">
      <alignment horizontal="center" vertical="center"/>
      <protection locked="0"/>
    </xf>
    <xf numFmtId="3" fontId="26" fillId="15" borderId="105" xfId="0" applyNumberFormat="1" applyFont="1" applyFill="1" applyBorder="1" applyProtection="1">
      <protection hidden="1"/>
    </xf>
    <xf numFmtId="49" fontId="20" fillId="16" borderId="105" xfId="0" applyNumberFormat="1" applyFont="1" applyFill="1" applyBorder="1" applyProtection="1">
      <protection locked="0"/>
    </xf>
    <xf numFmtId="49" fontId="26" fillId="16" borderId="106" xfId="0" applyNumberFormat="1" applyFont="1" applyFill="1" applyBorder="1" applyAlignment="1" applyProtection="1">
      <alignment horizontal="center" vertical="center"/>
      <protection locked="0"/>
    </xf>
    <xf numFmtId="0" fontId="29" fillId="14" borderId="106" xfId="0" applyFont="1" applyFill="1" applyBorder="1" applyAlignment="1" applyProtection="1">
      <alignment horizontal="left"/>
      <protection locked="0" hidden="1"/>
    </xf>
    <xf numFmtId="49" fontId="26" fillId="14" borderId="106" xfId="0" applyNumberFormat="1" applyFont="1" applyFill="1" applyBorder="1" applyProtection="1">
      <protection locked="0" hidden="1"/>
    </xf>
    <xf numFmtId="0" fontId="26" fillId="16" borderId="106" xfId="0" applyNumberFormat="1" applyFont="1" applyFill="1" applyBorder="1" applyAlignment="1" applyProtection="1">
      <alignment horizontal="center" vertical="center"/>
      <protection locked="0"/>
    </xf>
    <xf numFmtId="3" fontId="26" fillId="15" borderId="106" xfId="0" applyNumberFormat="1" applyFont="1" applyFill="1" applyBorder="1" applyProtection="1">
      <protection hidden="1"/>
    </xf>
    <xf numFmtId="0" fontId="10" fillId="0" borderId="113" xfId="0" applyFont="1" applyFill="1" applyBorder="1" applyAlignment="1" applyProtection="1">
      <alignment horizontal="left"/>
      <protection locked="0"/>
    </xf>
    <xf numFmtId="49" fontId="26" fillId="16" borderId="20" xfId="0" applyNumberFormat="1" applyFont="1" applyFill="1" applyBorder="1" applyAlignment="1" applyProtection="1">
      <alignment horizontal="center" vertical="center"/>
      <protection locked="0"/>
    </xf>
    <xf numFmtId="3" fontId="26" fillId="16" borderId="20" xfId="0" applyNumberFormat="1" applyFont="1" applyFill="1" applyBorder="1" applyAlignment="1" applyProtection="1">
      <alignment vertical="center"/>
      <protection locked="0"/>
    </xf>
    <xf numFmtId="3" fontId="26" fillId="16" borderId="105" xfId="0" applyNumberFormat="1" applyFont="1" applyFill="1" applyBorder="1" applyAlignment="1" applyProtection="1">
      <alignment vertical="center"/>
      <protection locked="0"/>
    </xf>
    <xf numFmtId="3" fontId="26" fillId="16" borderId="106" xfId="0" applyNumberFormat="1" applyFont="1" applyFill="1" applyBorder="1" applyAlignment="1" applyProtection="1">
      <alignment vertical="center"/>
      <protection locked="0"/>
    </xf>
    <xf numFmtId="0" fontId="62" fillId="0" borderId="48" xfId="15" applyFont="1" applyBorder="1" applyAlignment="1">
      <alignment vertical="top"/>
    </xf>
    <xf numFmtId="0" fontId="63" fillId="0" borderId="48" xfId="15" applyFont="1" applyBorder="1" applyAlignment="1">
      <alignment vertical="center"/>
    </xf>
    <xf numFmtId="0" fontId="59" fillId="0" borderId="48" xfId="15" applyFont="1" applyBorder="1" applyAlignment="1">
      <alignment vertical="center"/>
    </xf>
    <xf numFmtId="0" fontId="10" fillId="0" borderId="21" xfId="0" applyFont="1" applyFill="1" applyBorder="1" applyAlignment="1" applyProtection="1">
      <alignment horizontal="left" vertical="center" wrapText="1"/>
      <protection locked="0"/>
    </xf>
    <xf numFmtId="0" fontId="29" fillId="0" borderId="21" xfId="0" applyFont="1" applyFill="1" applyBorder="1" applyAlignment="1" applyProtection="1">
      <alignment horizontal="left" vertical="center" wrapText="1"/>
      <protection locked="0"/>
    </xf>
    <xf numFmtId="0" fontId="29" fillId="0" borderId="22" xfId="0" applyFont="1" applyFill="1" applyBorder="1" applyAlignment="1" applyProtection="1">
      <alignment horizontal="left" vertical="center" wrapText="1"/>
      <protection locked="0"/>
    </xf>
    <xf numFmtId="0" fontId="29" fillId="14" borderId="20" xfId="0" applyFont="1" applyFill="1" applyBorder="1" applyAlignment="1" applyProtection="1">
      <alignment horizontal="left" vertical="center" wrapText="1"/>
      <protection locked="0" hidden="1"/>
    </xf>
    <xf numFmtId="0" fontId="29" fillId="14" borderId="21" xfId="0" applyFont="1" applyFill="1" applyBorder="1" applyAlignment="1" applyProtection="1">
      <alignment horizontal="left" vertical="center" wrapText="1"/>
      <protection locked="0" hidden="1"/>
    </xf>
    <xf numFmtId="0" fontId="29" fillId="14" borderId="22" xfId="0" applyFont="1" applyFill="1" applyBorder="1" applyAlignment="1" applyProtection="1">
      <alignment horizontal="left" vertical="center" wrapText="1"/>
      <protection locked="0" hidden="1"/>
    </xf>
    <xf numFmtId="0" fontId="29" fillId="14" borderId="34" xfId="0" applyFont="1" applyFill="1" applyBorder="1" applyAlignment="1" applyProtection="1">
      <alignment horizontal="left" vertical="center" wrapText="1"/>
      <protection locked="0" hidden="1"/>
    </xf>
    <xf numFmtId="0" fontId="29" fillId="14" borderId="35" xfId="0" applyFont="1" applyFill="1" applyBorder="1" applyAlignment="1" applyProtection="1">
      <alignment horizontal="left" vertical="center" wrapText="1"/>
      <protection locked="0" hidden="1"/>
    </xf>
    <xf numFmtId="0" fontId="29" fillId="14" borderId="36" xfId="0" applyFont="1" applyFill="1" applyBorder="1" applyAlignment="1" applyProtection="1">
      <alignment horizontal="left" vertical="center" wrapText="1"/>
      <protection locked="0" hidden="1"/>
    </xf>
    <xf numFmtId="0" fontId="27" fillId="0" borderId="114" xfId="0" applyFont="1" applyBorder="1" applyAlignment="1">
      <alignment vertical="center"/>
    </xf>
    <xf numFmtId="0" fontId="27" fillId="0" borderId="115" xfId="0" applyFont="1" applyBorder="1" applyAlignment="1">
      <alignment vertical="center"/>
    </xf>
    <xf numFmtId="0" fontId="27" fillId="0" borderId="109" xfId="0" applyFont="1" applyBorder="1" applyAlignment="1">
      <alignment vertical="center"/>
    </xf>
    <xf numFmtId="0" fontId="27" fillId="0" borderId="112" xfId="0" applyFont="1" applyBorder="1" applyAlignment="1">
      <alignment vertical="center"/>
    </xf>
    <xf numFmtId="49" fontId="36" fillId="0" borderId="48" xfId="15" applyNumberFormat="1" applyFont="1" applyBorder="1" applyAlignment="1">
      <alignment vertical="top"/>
    </xf>
    <xf numFmtId="0" fontId="49" fillId="0" borderId="94" xfId="15" quotePrefix="1" applyFont="1" applyBorder="1" applyAlignment="1">
      <alignment horizontal="left" vertical="top" wrapText="1"/>
    </xf>
    <xf numFmtId="0" fontId="49" fillId="0" borderId="95" xfId="15" quotePrefix="1" applyFont="1" applyBorder="1" applyAlignment="1">
      <alignment horizontal="left" vertical="top" wrapText="1"/>
    </xf>
    <xf numFmtId="0" fontId="49" fillId="0" borderId="96" xfId="15" quotePrefix="1" applyFont="1" applyBorder="1" applyAlignment="1">
      <alignment horizontal="left" vertical="top" wrapText="1"/>
    </xf>
    <xf numFmtId="0" fontId="49" fillId="0" borderId="94" xfId="15" applyFont="1" applyBorder="1" applyAlignment="1">
      <alignment vertical="top" wrapText="1"/>
    </xf>
    <xf numFmtId="0" fontId="49" fillId="0" borderId="95" xfId="15" applyFont="1" applyBorder="1" applyAlignment="1">
      <alignment vertical="top" wrapText="1"/>
    </xf>
    <xf numFmtId="0" fontId="49" fillId="0" borderId="96" xfId="15" applyFont="1" applyBorder="1" applyAlignment="1">
      <alignment vertical="top" wrapText="1"/>
    </xf>
    <xf numFmtId="0" fontId="48" fillId="0" borderId="116" xfId="15" applyFont="1" applyBorder="1" applyAlignment="1">
      <alignment horizontal="left" vertical="top" wrapText="1"/>
    </xf>
    <xf numFmtId="0" fontId="48" fillId="0" borderId="117" xfId="15" applyFont="1" applyBorder="1" applyAlignment="1">
      <alignment horizontal="left" vertical="top" wrapText="1"/>
    </xf>
    <xf numFmtId="0" fontId="48" fillId="0" borderId="118" xfId="15" applyFont="1" applyBorder="1" applyAlignment="1">
      <alignment horizontal="left" vertical="top" wrapText="1"/>
    </xf>
    <xf numFmtId="0" fontId="50" fillId="0" borderId="94" xfId="15" applyFont="1" applyBorder="1" applyAlignment="1">
      <alignment horizontal="left" vertical="top"/>
    </xf>
    <xf numFmtId="0" fontId="50" fillId="0" borderId="95" xfId="15" applyFont="1" applyBorder="1" applyAlignment="1">
      <alignment horizontal="left" vertical="top"/>
    </xf>
    <xf numFmtId="0" fontId="50" fillId="0" borderId="96" xfId="15" applyFont="1" applyBorder="1" applyAlignment="1">
      <alignment horizontal="left" vertical="top"/>
    </xf>
    <xf numFmtId="0" fontId="49" fillId="0" borderId="94" xfId="15" applyFont="1" applyBorder="1" applyAlignment="1">
      <alignment horizontal="left" vertical="top" wrapText="1"/>
    </xf>
    <xf numFmtId="0" fontId="49" fillId="0" borderId="95" xfId="15" applyFont="1" applyBorder="1" applyAlignment="1">
      <alignment horizontal="left" vertical="top" wrapText="1"/>
    </xf>
    <xf numFmtId="0" fontId="49" fillId="0" borderId="96" xfId="15" applyFont="1" applyBorder="1" applyAlignment="1">
      <alignment horizontal="left" vertical="top" wrapText="1"/>
    </xf>
    <xf numFmtId="0" fontId="6" fillId="0" borderId="94" xfId="12" applyBorder="1" applyAlignment="1" applyProtection="1">
      <alignment horizontal="center" vertical="top"/>
    </xf>
    <xf numFmtId="0" fontId="57" fillId="0" borderId="95" xfId="12" applyFont="1" applyBorder="1" applyAlignment="1" applyProtection="1">
      <alignment horizontal="center" vertical="top"/>
    </xf>
    <xf numFmtId="0" fontId="57" fillId="0" borderId="96" xfId="12" applyFont="1" applyBorder="1" applyAlignment="1" applyProtection="1">
      <alignment horizontal="center" vertical="top"/>
    </xf>
    <xf numFmtId="0" fontId="48" fillId="0" borderId="94" xfId="15" applyFont="1" applyBorder="1" applyAlignment="1">
      <alignment horizontal="left" vertical="top" wrapText="1"/>
    </xf>
    <xf numFmtId="0" fontId="48" fillId="0" borderId="95" xfId="15" applyFont="1" applyBorder="1" applyAlignment="1">
      <alignment horizontal="left" vertical="top" wrapText="1"/>
    </xf>
    <xf numFmtId="0" fontId="48" fillId="0" borderId="96" xfId="15" applyFont="1" applyBorder="1" applyAlignment="1">
      <alignment horizontal="left" vertical="top" wrapText="1"/>
    </xf>
    <xf numFmtId="0" fontId="49" fillId="0" borderId="94" xfId="15" applyFont="1" applyBorder="1" applyAlignment="1">
      <alignment horizontal="left" vertical="center" wrapText="1"/>
    </xf>
    <xf numFmtId="0" fontId="49" fillId="0" borderId="95" xfId="15" applyFont="1" applyBorder="1" applyAlignment="1">
      <alignment horizontal="left" vertical="center" wrapText="1"/>
    </xf>
    <xf numFmtId="0" fontId="49" fillId="0" borderId="96" xfId="15" applyFont="1" applyBorder="1" applyAlignment="1">
      <alignment horizontal="left" vertical="center" wrapText="1"/>
    </xf>
    <xf numFmtId="0" fontId="54" fillId="0" borderId="94" xfId="15" applyFont="1" applyBorder="1" applyAlignment="1">
      <alignment horizontal="left" vertical="top" wrapText="1"/>
    </xf>
    <xf numFmtId="0" fontId="54" fillId="0" borderId="95" xfId="15" applyFont="1" applyBorder="1" applyAlignment="1">
      <alignment horizontal="left" vertical="top" wrapText="1"/>
    </xf>
    <xf numFmtId="0" fontId="54" fillId="0" borderId="96" xfId="15" applyFont="1" applyBorder="1" applyAlignment="1">
      <alignment horizontal="left" vertical="top" wrapText="1"/>
    </xf>
    <xf numFmtId="0" fontId="36" fillId="0" borderId="94" xfId="15" applyFont="1" applyBorder="1" applyAlignment="1">
      <alignment horizontal="left" vertical="top" wrapText="1"/>
    </xf>
    <xf numFmtId="0" fontId="36" fillId="0" borderId="98" xfId="15" applyFont="1" applyBorder="1" applyAlignment="1">
      <alignment horizontal="left" vertical="top" wrapText="1"/>
    </xf>
    <xf numFmtId="0" fontId="61" fillId="0" borderId="99" xfId="15" applyFont="1" applyBorder="1" applyAlignment="1">
      <alignment horizontal="left" vertical="top" wrapText="1"/>
    </xf>
    <xf numFmtId="0" fontId="61" fillId="0" borderId="100" xfId="15" applyFont="1" applyBorder="1" applyAlignment="1">
      <alignment horizontal="left" vertical="top" wrapText="1"/>
    </xf>
    <xf numFmtId="0" fontId="61" fillId="0" borderId="101" xfId="15" applyFont="1" applyBorder="1" applyAlignment="1">
      <alignment horizontal="left" vertical="top" wrapText="1"/>
    </xf>
    <xf numFmtId="0" fontId="61" fillId="0" borderId="102" xfId="15" applyFont="1" applyBorder="1" applyAlignment="1">
      <alignment horizontal="left" vertical="top" wrapText="1"/>
    </xf>
    <xf numFmtId="0" fontId="61" fillId="0" borderId="103" xfId="15" applyFont="1" applyBorder="1" applyAlignment="1">
      <alignment horizontal="left" vertical="top" wrapText="1"/>
    </xf>
    <xf numFmtId="0" fontId="50" fillId="0" borderId="94" xfId="15" applyFont="1" applyBorder="1" applyAlignment="1">
      <alignment horizontal="left" vertical="top" wrapText="1"/>
    </xf>
    <xf numFmtId="0" fontId="50" fillId="0" borderId="95" xfId="15" applyFont="1" applyBorder="1" applyAlignment="1">
      <alignment horizontal="left" vertical="top" wrapText="1"/>
    </xf>
    <xf numFmtId="0" fontId="50" fillId="0" borderId="96" xfId="15" applyFont="1" applyBorder="1" applyAlignment="1">
      <alignment horizontal="left" vertical="top" wrapText="1"/>
    </xf>
    <xf numFmtId="0" fontId="10" fillId="0" borderId="67" xfId="0" applyFont="1" applyFill="1" applyBorder="1" applyAlignment="1" applyProtection="1">
      <alignment vertical="center" shrinkToFit="1"/>
      <protection locked="0"/>
    </xf>
    <xf numFmtId="0" fontId="10" fillId="0" borderId="68" xfId="0" applyFont="1" applyFill="1" applyBorder="1" applyAlignment="1" applyProtection="1">
      <alignment vertical="center" shrinkToFit="1"/>
      <protection locked="0"/>
    </xf>
    <xf numFmtId="0" fontId="10" fillId="0" borderId="69" xfId="0" applyFont="1" applyFill="1" applyBorder="1" applyAlignment="1" applyProtection="1">
      <alignment vertical="center" shrinkToFit="1"/>
      <protection locked="0"/>
    </xf>
    <xf numFmtId="0" fontId="37" fillId="0" borderId="56" xfId="14" applyFont="1" applyBorder="1" applyAlignment="1">
      <alignment horizontal="center"/>
    </xf>
    <xf numFmtId="0" fontId="37" fillId="0" borderId="84" xfId="14" applyFont="1" applyBorder="1" applyAlignment="1">
      <alignment horizontal="center"/>
    </xf>
    <xf numFmtId="0" fontId="37" fillId="0" borderId="28" xfId="14" applyFont="1" applyBorder="1" applyAlignment="1">
      <alignment horizontal="center"/>
    </xf>
    <xf numFmtId="0" fontId="37" fillId="0" borderId="41" xfId="14" applyFont="1" applyBorder="1" applyAlignment="1">
      <alignment horizontal="center"/>
    </xf>
    <xf numFmtId="0" fontId="41" fillId="0" borderId="81" xfId="14" applyBorder="1" applyAlignment="1" applyProtection="1">
      <alignment horizontal="left"/>
      <protection locked="0"/>
    </xf>
    <xf numFmtId="0" fontId="41" fillId="0" borderId="82" xfId="14" applyBorder="1" applyAlignment="1" applyProtection="1">
      <alignment horizontal="left"/>
      <protection locked="0"/>
    </xf>
    <xf numFmtId="0" fontId="41" fillId="0" borderId="83" xfId="14" applyBorder="1" applyAlignment="1" applyProtection="1">
      <alignment horizontal="left"/>
      <protection locked="0"/>
    </xf>
    <xf numFmtId="166" fontId="60" fillId="0" borderId="4" xfId="14" applyNumberFormat="1" applyFont="1" applyBorder="1" applyAlignment="1">
      <alignment horizontal="center"/>
    </xf>
    <xf numFmtId="0" fontId="37" fillId="0" borderId="4" xfId="14" applyFont="1" applyFill="1" applyBorder="1" applyAlignment="1" applyProtection="1">
      <alignment horizontal="center" vertical="center"/>
      <protection locked="0"/>
    </xf>
    <xf numFmtId="49" fontId="2" fillId="0" borderId="53" xfId="0" applyNumberFormat="1" applyFont="1" applyFill="1" applyBorder="1" applyAlignment="1" applyProtection="1">
      <alignment horizontal="center" vertical="center" wrapText="1"/>
    </xf>
    <xf numFmtId="49" fontId="2" fillId="0" borderId="33" xfId="0" applyNumberFormat="1" applyFont="1" applyFill="1" applyBorder="1" applyAlignment="1" applyProtection="1">
      <alignment horizontal="center" vertical="center" wrapText="1"/>
    </xf>
    <xf numFmtId="49" fontId="2" fillId="0" borderId="53" xfId="0" applyNumberFormat="1" applyFont="1" applyBorder="1" applyAlignment="1" applyProtection="1">
      <alignment horizontal="center" vertical="center" wrapText="1"/>
    </xf>
    <xf numFmtId="49" fontId="2" fillId="0" borderId="33" xfId="0" applyNumberFormat="1" applyFont="1" applyBorder="1" applyAlignment="1" applyProtection="1">
      <alignment horizontal="center" vertical="center" wrapText="1"/>
    </xf>
    <xf numFmtId="49" fontId="2" fillId="0" borderId="56" xfId="0" applyNumberFormat="1" applyFont="1" applyFill="1" applyBorder="1" applyAlignment="1" applyProtection="1">
      <alignment horizontal="center" vertical="center" wrapText="1"/>
    </xf>
    <xf numFmtId="49" fontId="2" fillId="0" borderId="41" xfId="0" applyNumberFormat="1" applyFont="1" applyFill="1" applyBorder="1" applyAlignment="1" applyProtection="1">
      <alignment horizontal="center" vertical="center" wrapText="1"/>
    </xf>
    <xf numFmtId="3" fontId="2" fillId="0" borderId="53" xfId="0" applyNumberFormat="1" applyFont="1" applyBorder="1" applyAlignment="1" applyProtection="1">
      <alignment horizontal="center" vertical="center" wrapText="1"/>
    </xf>
    <xf numFmtId="3" fontId="2" fillId="0" borderId="33" xfId="0" applyNumberFormat="1" applyFont="1" applyBorder="1" applyAlignment="1" applyProtection="1">
      <alignment horizontal="center" vertical="center" wrapText="1"/>
    </xf>
    <xf numFmtId="0" fontId="2" fillId="0" borderId="53" xfId="0" applyNumberFormat="1" applyFont="1" applyBorder="1" applyAlignment="1" applyProtection="1">
      <alignment horizontal="center" vertical="center" wrapText="1"/>
    </xf>
    <xf numFmtId="0" fontId="2" fillId="0" borderId="33" xfId="0" applyNumberFormat="1" applyFont="1" applyBorder="1" applyAlignment="1" applyProtection="1">
      <alignment horizontal="center" vertical="center" wrapText="1"/>
    </xf>
    <xf numFmtId="1" fontId="2" fillId="0" borderId="53" xfId="0" applyNumberFormat="1" applyFont="1" applyBorder="1" applyAlignment="1" applyProtection="1">
      <alignment horizontal="center" vertical="center" wrapText="1"/>
    </xf>
    <xf numFmtId="1" fontId="2" fillId="0" borderId="33" xfId="0" applyNumberFormat="1" applyFont="1" applyBorder="1" applyAlignment="1" applyProtection="1">
      <alignment horizontal="center" vertical="center" wrapText="1"/>
    </xf>
    <xf numFmtId="0" fontId="2" fillId="0" borderId="49" xfId="0" applyFont="1" applyFill="1" applyBorder="1" applyAlignment="1" applyProtection="1">
      <alignment horizontal="center" vertical="center" wrapText="1"/>
    </xf>
    <xf numFmtId="0" fontId="2" fillId="0" borderId="51" xfId="0" applyFont="1" applyFill="1" applyBorder="1" applyAlignment="1" applyProtection="1">
      <alignment horizontal="center" vertical="center" wrapText="1"/>
    </xf>
    <xf numFmtId="0" fontId="2" fillId="0" borderId="52"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xf>
    <xf numFmtId="0" fontId="2" fillId="0" borderId="53" xfId="0" applyFont="1" applyFill="1" applyBorder="1" applyAlignment="1" applyProtection="1">
      <alignment horizontal="center" vertical="center" wrapText="1"/>
    </xf>
    <xf numFmtId="0" fontId="2" fillId="0" borderId="33" xfId="0" applyFont="1" applyFill="1" applyBorder="1" applyAlignment="1" applyProtection="1">
      <alignment horizontal="center" vertical="center" wrapText="1"/>
    </xf>
    <xf numFmtId="0" fontId="2" fillId="0" borderId="70" xfId="0" applyFont="1" applyBorder="1" applyAlignment="1" applyProtection="1">
      <alignment horizontal="center" vertical="center" wrapText="1"/>
    </xf>
    <xf numFmtId="0" fontId="2" fillId="0" borderId="31" xfId="0" applyFont="1" applyBorder="1" applyAlignment="1" applyProtection="1">
      <alignment horizontal="center" vertical="center" wrapText="1"/>
    </xf>
    <xf numFmtId="0" fontId="2" fillId="0" borderId="53" xfId="0" applyFont="1" applyBorder="1" applyAlignment="1" applyProtection="1">
      <alignment horizontal="center" vertical="center" wrapText="1"/>
    </xf>
    <xf numFmtId="0" fontId="2" fillId="0" borderId="33" xfId="0" applyFont="1" applyBorder="1" applyAlignment="1" applyProtection="1">
      <alignment horizontal="center" vertical="center" wrapText="1"/>
    </xf>
    <xf numFmtId="0" fontId="42" fillId="21" borderId="0" xfId="0" applyFont="1" applyFill="1" applyBorder="1" applyAlignment="1" applyProtection="1">
      <alignment horizontal="center" vertical="center" wrapText="1"/>
      <protection hidden="1"/>
    </xf>
    <xf numFmtId="0" fontId="2" fillId="0" borderId="71" xfId="0" applyNumberFormat="1" applyFont="1" applyBorder="1" applyAlignment="1" applyProtection="1">
      <alignment horizontal="center" vertical="center" wrapText="1"/>
    </xf>
    <xf numFmtId="0" fontId="2" fillId="0" borderId="58" xfId="0" applyNumberFormat="1" applyFont="1" applyBorder="1" applyAlignment="1" applyProtection="1">
      <alignment horizontal="center" vertical="center" wrapText="1"/>
    </xf>
    <xf numFmtId="49" fontId="2" fillId="0" borderId="86" xfId="0" applyNumberFormat="1" applyFont="1" applyBorder="1" applyAlignment="1" applyProtection="1">
      <alignment horizontal="center" vertical="center" wrapText="1"/>
    </xf>
    <xf numFmtId="49" fontId="2" fillId="0" borderId="87" xfId="0" applyNumberFormat="1" applyFont="1" applyBorder="1" applyAlignment="1" applyProtection="1">
      <alignment horizontal="center" vertical="center" wrapText="1"/>
    </xf>
    <xf numFmtId="3" fontId="2" fillId="0" borderId="54" xfId="0" applyNumberFormat="1" applyFont="1" applyBorder="1" applyAlignment="1" applyProtection="1">
      <alignment horizontal="center" vertical="center" wrapText="1"/>
    </xf>
    <xf numFmtId="3" fontId="2" fillId="0" borderId="25" xfId="0" applyNumberFormat="1" applyFont="1" applyBorder="1" applyAlignment="1" applyProtection="1">
      <alignment horizontal="center" vertical="center" wrapText="1"/>
    </xf>
    <xf numFmtId="0" fontId="2" fillId="0" borderId="34" xfId="0" applyNumberFormat="1" applyFont="1" applyBorder="1" applyAlignment="1" applyProtection="1">
      <alignment horizontal="center" vertical="center" wrapText="1"/>
    </xf>
    <xf numFmtId="0" fontId="2" fillId="0" borderId="15" xfId="0" applyNumberFormat="1" applyFont="1" applyBorder="1" applyAlignment="1" applyProtection="1">
      <alignment horizontal="center" vertical="center" wrapText="1"/>
    </xf>
    <xf numFmtId="0" fontId="2" fillId="0" borderId="70" xfId="0" applyNumberFormat="1" applyFont="1" applyBorder="1" applyAlignment="1" applyProtection="1">
      <alignment horizontal="center" vertical="center" wrapText="1"/>
    </xf>
    <xf numFmtId="0" fontId="2" fillId="0" borderId="60" xfId="0" applyNumberFormat="1" applyFont="1" applyBorder="1" applyAlignment="1" applyProtection="1">
      <alignment horizontal="center" vertical="center" wrapText="1"/>
    </xf>
    <xf numFmtId="3" fontId="2" fillId="0" borderId="53" xfId="0" applyNumberFormat="1" applyFont="1" applyFill="1" applyBorder="1" applyAlignment="1" applyProtection="1">
      <alignment horizontal="center" vertical="center" wrapText="1"/>
    </xf>
    <xf numFmtId="3" fontId="2" fillId="0" borderId="33" xfId="0" applyNumberFormat="1" applyFont="1" applyFill="1" applyBorder="1" applyAlignment="1" applyProtection="1">
      <alignment horizontal="center" vertical="center" wrapText="1"/>
    </xf>
    <xf numFmtId="3" fontId="2" fillId="0" borderId="70" xfId="0" applyNumberFormat="1" applyFont="1" applyFill="1" applyBorder="1" applyAlignment="1" applyProtection="1">
      <alignment horizontal="center" vertical="center" wrapText="1"/>
    </xf>
    <xf numFmtId="3" fontId="2" fillId="0" borderId="71" xfId="0" applyNumberFormat="1" applyFont="1" applyFill="1" applyBorder="1" applyAlignment="1" applyProtection="1">
      <alignment horizontal="center" vertical="center" wrapText="1"/>
    </xf>
    <xf numFmtId="3" fontId="2" fillId="0" borderId="72" xfId="0" applyNumberFormat="1" applyFont="1" applyFill="1" applyBorder="1" applyAlignment="1" applyProtection="1">
      <alignment horizontal="center" vertical="center" wrapText="1"/>
    </xf>
    <xf numFmtId="3" fontId="2" fillId="0" borderId="58" xfId="0" applyNumberFormat="1" applyFont="1" applyFill="1" applyBorder="1" applyAlignment="1" applyProtection="1">
      <alignment horizontal="center" vertical="center" wrapText="1"/>
    </xf>
    <xf numFmtId="3" fontId="2" fillId="0" borderId="70" xfId="0" applyNumberFormat="1" applyFont="1" applyBorder="1" applyAlignment="1" applyProtection="1">
      <alignment horizontal="center" vertical="center" wrapText="1"/>
    </xf>
    <xf numFmtId="3" fontId="2" fillId="0" borderId="71" xfId="0" applyNumberFormat="1" applyFont="1" applyBorder="1" applyAlignment="1" applyProtection="1">
      <alignment horizontal="center" vertical="center" wrapText="1"/>
    </xf>
    <xf numFmtId="3" fontId="2" fillId="0" borderId="72" xfId="0" applyNumberFormat="1" applyFont="1" applyBorder="1" applyAlignment="1" applyProtection="1">
      <alignment horizontal="center" vertical="center" wrapText="1"/>
    </xf>
    <xf numFmtId="3" fontId="2" fillId="0" borderId="58" xfId="0" applyNumberFormat="1" applyFont="1" applyBorder="1" applyAlignment="1" applyProtection="1">
      <alignment horizontal="center" vertical="center" wrapText="1"/>
    </xf>
    <xf numFmtId="0" fontId="5" fillId="0" borderId="0" xfId="0" applyFont="1" applyFill="1" applyBorder="1" applyAlignment="1" applyProtection="1">
      <alignment horizontal="right" vertical="center"/>
    </xf>
    <xf numFmtId="0" fontId="46" fillId="0" borderId="75" xfId="0" applyFont="1" applyFill="1" applyBorder="1" applyAlignment="1" applyProtection="1">
      <alignment horizontal="center" vertical="center" wrapText="1"/>
    </xf>
    <xf numFmtId="0" fontId="46" fillId="0" borderId="76" xfId="0" applyFont="1" applyFill="1" applyBorder="1" applyAlignment="1" applyProtection="1">
      <alignment horizontal="center" vertical="center" wrapText="1"/>
    </xf>
    <xf numFmtId="0" fontId="46" fillId="0" borderId="77" xfId="0" applyFont="1" applyFill="1" applyBorder="1" applyAlignment="1" applyProtection="1">
      <alignment horizontal="center" vertical="center" wrapText="1"/>
    </xf>
    <xf numFmtId="0" fontId="46" fillId="0" borderId="78" xfId="0" applyFont="1" applyFill="1" applyBorder="1" applyAlignment="1" applyProtection="1">
      <alignment horizontal="center" vertical="center" wrapText="1"/>
    </xf>
    <xf numFmtId="0" fontId="46" fillId="0" borderId="79" xfId="0" applyFont="1" applyFill="1" applyBorder="1" applyAlignment="1" applyProtection="1">
      <alignment horizontal="center" vertical="center" wrapText="1"/>
    </xf>
    <xf numFmtId="0" fontId="46" fillId="0" borderId="80" xfId="0" applyFont="1" applyFill="1" applyBorder="1" applyAlignment="1" applyProtection="1">
      <alignment horizontal="center" vertical="center" wrapText="1"/>
    </xf>
    <xf numFmtId="3" fontId="46" fillId="21" borderId="88" xfId="0" applyNumberFormat="1" applyFont="1" applyFill="1" applyBorder="1" applyAlignment="1" applyProtection="1">
      <alignment horizontal="center" vertical="center"/>
    </xf>
    <xf numFmtId="3" fontId="46" fillId="21" borderId="89" xfId="0" applyNumberFormat="1" applyFont="1" applyFill="1" applyBorder="1" applyAlignment="1" applyProtection="1">
      <alignment horizontal="center" vertical="center"/>
    </xf>
    <xf numFmtId="3" fontId="46" fillId="21" borderId="90" xfId="0" applyNumberFormat="1" applyFont="1" applyFill="1" applyBorder="1" applyAlignment="1" applyProtection="1">
      <alignment horizontal="center" vertical="center"/>
    </xf>
    <xf numFmtId="3" fontId="46" fillId="21" borderId="91" xfId="0" applyNumberFormat="1" applyFont="1" applyFill="1" applyBorder="1" applyAlignment="1" applyProtection="1">
      <alignment horizontal="center" vertical="center" wrapText="1"/>
    </xf>
    <xf numFmtId="3" fontId="46" fillId="21" borderId="92" xfId="0" applyNumberFormat="1" applyFont="1" applyFill="1" applyBorder="1" applyAlignment="1" applyProtection="1">
      <alignment horizontal="center" vertical="center" wrapText="1"/>
    </xf>
    <xf numFmtId="3" fontId="46" fillId="21" borderId="93" xfId="0" applyNumberFormat="1" applyFont="1" applyFill="1" applyBorder="1" applyAlignment="1" applyProtection="1">
      <alignment horizontal="center" vertical="center" wrapText="1"/>
    </xf>
    <xf numFmtId="3" fontId="42" fillId="19" borderId="75" xfId="0" applyNumberFormat="1" applyFont="1" applyFill="1" applyBorder="1" applyAlignment="1" applyProtection="1">
      <alignment horizontal="center" vertical="center" wrapText="1"/>
    </xf>
    <xf numFmtId="3" fontId="42" fillId="19" borderId="76" xfId="0" applyNumberFormat="1" applyFont="1" applyFill="1" applyBorder="1" applyAlignment="1" applyProtection="1">
      <alignment horizontal="center" vertical="center" wrapText="1"/>
    </xf>
    <xf numFmtId="3" fontId="42" fillId="19" borderId="77" xfId="0" applyNumberFormat="1" applyFont="1" applyFill="1" applyBorder="1" applyAlignment="1" applyProtection="1">
      <alignment horizontal="center" vertical="center" wrapText="1"/>
    </xf>
    <xf numFmtId="3" fontId="42" fillId="19" borderId="78" xfId="0" applyNumberFormat="1" applyFont="1" applyFill="1" applyBorder="1" applyAlignment="1" applyProtection="1">
      <alignment horizontal="center" vertical="center" wrapText="1"/>
    </xf>
    <xf numFmtId="3" fontId="42" fillId="19" borderId="79" xfId="0" applyNumberFormat="1" applyFont="1" applyFill="1" applyBorder="1" applyAlignment="1" applyProtection="1">
      <alignment horizontal="center" vertical="center" wrapText="1"/>
    </xf>
    <xf numFmtId="3" fontId="42" fillId="19" borderId="80" xfId="0" applyNumberFormat="1" applyFont="1" applyFill="1" applyBorder="1" applyAlignment="1" applyProtection="1">
      <alignment horizontal="center" vertical="center" wrapText="1"/>
    </xf>
    <xf numFmtId="0" fontId="5" fillId="0" borderId="0" xfId="0" applyFont="1" applyFill="1" applyBorder="1" applyAlignment="1" applyProtection="1">
      <alignment wrapText="1"/>
    </xf>
    <xf numFmtId="0" fontId="30" fillId="15" borderId="0" xfId="0" applyFont="1" applyFill="1" applyBorder="1" applyAlignment="1" applyProtection="1">
      <alignment horizontal="left"/>
      <protection hidden="1"/>
    </xf>
    <xf numFmtId="0" fontId="2" fillId="0" borderId="56" xfId="0" applyFont="1" applyBorder="1" applyAlignment="1" applyProtection="1">
      <alignment horizontal="center" vertical="center"/>
    </xf>
    <xf numFmtId="0" fontId="2" fillId="0" borderId="28" xfId="0" applyFont="1" applyBorder="1" applyAlignment="1" applyProtection="1">
      <alignment horizontal="center" vertical="center"/>
    </xf>
    <xf numFmtId="0" fontId="2" fillId="0" borderId="84" xfId="0" applyFont="1" applyBorder="1" applyAlignment="1" applyProtection="1">
      <alignment horizontal="center" vertical="center"/>
    </xf>
    <xf numFmtId="0" fontId="2" fillId="0" borderId="41" xfId="0" applyFont="1" applyBorder="1" applyAlignment="1" applyProtection="1">
      <alignment horizontal="center" vertical="center"/>
    </xf>
    <xf numFmtId="0" fontId="30" fillId="0" borderId="85" xfId="0" applyFont="1" applyFill="1" applyBorder="1" applyAlignment="1">
      <alignment horizontal="center" vertical="center" wrapText="1"/>
    </xf>
    <xf numFmtId="0" fontId="30" fillId="0" borderId="97" xfId="0" applyFont="1" applyFill="1" applyBorder="1" applyAlignment="1">
      <alignment horizontal="center" vertical="center" wrapText="1"/>
    </xf>
    <xf numFmtId="0" fontId="44" fillId="0" borderId="53" xfId="0" applyFont="1" applyBorder="1" applyAlignment="1">
      <alignment horizontal="center" vertical="center" textRotation="180"/>
    </xf>
    <xf numFmtId="0" fontId="44" fillId="0" borderId="73" xfId="0" applyFont="1" applyBorder="1" applyAlignment="1">
      <alignment horizontal="center" vertical="center" textRotation="180"/>
    </xf>
    <xf numFmtId="0" fontId="44" fillId="0" borderId="33" xfId="0" applyFont="1" applyBorder="1" applyAlignment="1">
      <alignment horizontal="center" vertical="center" textRotation="180"/>
    </xf>
    <xf numFmtId="3" fontId="19" fillId="0" borderId="53" xfId="0" applyNumberFormat="1" applyFont="1" applyFill="1" applyBorder="1" applyAlignment="1">
      <alignment horizontal="center" vertical="center" textRotation="180"/>
    </xf>
    <xf numFmtId="3" fontId="19" fillId="0" borderId="73" xfId="0" applyNumberFormat="1" applyFont="1" applyFill="1" applyBorder="1" applyAlignment="1">
      <alignment horizontal="center" vertical="center" textRotation="180"/>
    </xf>
    <xf numFmtId="3" fontId="19" fillId="0" borderId="33" xfId="0" applyNumberFormat="1" applyFont="1" applyFill="1" applyBorder="1" applyAlignment="1">
      <alignment horizontal="center" vertical="center" textRotation="180"/>
    </xf>
    <xf numFmtId="0" fontId="44" fillId="0" borderId="49" xfId="0" applyFont="1" applyBorder="1" applyAlignment="1">
      <alignment horizontal="center" vertical="center"/>
    </xf>
    <xf numFmtId="0" fontId="44" fillId="0" borderId="50" xfId="0" applyFont="1" applyBorder="1" applyAlignment="1">
      <alignment horizontal="center" vertical="center"/>
    </xf>
    <xf numFmtId="0" fontId="32" fillId="0" borderId="37" xfId="0" applyFont="1" applyFill="1" applyBorder="1" applyAlignment="1">
      <alignment horizontal="center" vertical="center" wrapText="1"/>
    </xf>
    <xf numFmtId="0" fontId="32" fillId="0" borderId="42" xfId="0" applyFont="1" applyFill="1" applyBorder="1" applyAlignment="1">
      <alignment horizontal="center" vertical="center" wrapText="1"/>
    </xf>
    <xf numFmtId="0" fontId="32" fillId="0" borderId="12" xfId="0" applyFont="1" applyFill="1" applyBorder="1" applyAlignment="1">
      <alignment horizontal="center" vertical="center" wrapText="1"/>
    </xf>
    <xf numFmtId="0" fontId="30" fillId="0" borderId="54" xfId="0" applyFont="1" applyBorder="1" applyAlignment="1">
      <alignment horizontal="center" vertical="center" wrapText="1"/>
    </xf>
    <xf numFmtId="0" fontId="30" fillId="0" borderId="65" xfId="0" applyFont="1" applyBorder="1" applyAlignment="1">
      <alignment horizontal="center" vertical="center" wrapText="1"/>
    </xf>
    <xf numFmtId="0" fontId="30" fillId="0" borderId="49" xfId="0" applyFont="1" applyBorder="1" applyAlignment="1">
      <alignment horizontal="center" vertical="center" wrapText="1"/>
    </xf>
    <xf numFmtId="0" fontId="30" fillId="0" borderId="52" xfId="0" applyFont="1" applyBorder="1" applyAlignment="1">
      <alignment horizontal="center" vertical="center" wrapText="1"/>
    </xf>
    <xf numFmtId="0" fontId="30" fillId="0" borderId="34" xfId="0" applyFont="1" applyFill="1" applyBorder="1" applyAlignment="1">
      <alignment horizontal="center" vertical="center" wrapText="1"/>
    </xf>
    <xf numFmtId="0" fontId="30" fillId="0" borderId="15" xfId="0" applyFont="1" applyFill="1" applyBorder="1" applyAlignment="1">
      <alignment horizontal="center" vertical="center" wrapText="1"/>
    </xf>
    <xf numFmtId="0" fontId="27" fillId="0" borderId="59" xfId="0" applyFont="1" applyBorder="1" applyAlignment="1">
      <alignment vertical="center" wrapText="1"/>
    </xf>
    <xf numFmtId="0" fontId="30" fillId="0" borderId="51" xfId="0" applyFont="1" applyBorder="1" applyAlignment="1">
      <alignment horizontal="center" vertical="center"/>
    </xf>
    <xf numFmtId="0" fontId="30" fillId="0" borderId="52" xfId="0" applyFont="1" applyBorder="1" applyAlignment="1">
      <alignment horizontal="center" vertical="center"/>
    </xf>
    <xf numFmtId="0" fontId="27" fillId="0" borderId="0" xfId="0" applyFont="1" applyAlignment="1">
      <alignment horizontal="left" vertical="center" wrapText="1"/>
    </xf>
    <xf numFmtId="0" fontId="30" fillId="0" borderId="49" xfId="0" applyFont="1" applyFill="1" applyBorder="1" applyAlignment="1">
      <alignment horizontal="center" vertical="center" wrapText="1"/>
    </xf>
    <xf numFmtId="0" fontId="30" fillId="0" borderId="52" xfId="0" applyFont="1" applyFill="1" applyBorder="1" applyAlignment="1">
      <alignment horizontal="center" vertical="center" wrapText="1"/>
    </xf>
    <xf numFmtId="0" fontId="30" fillId="0" borderId="0" xfId="0" applyFont="1" applyFill="1" applyBorder="1" applyAlignment="1">
      <alignment horizontal="center" vertical="center"/>
    </xf>
  </cellXfs>
  <cellStyles count="16">
    <cellStyle name="Accent1" xfId="1"/>
    <cellStyle name="Accent2" xfId="2"/>
    <cellStyle name="Accent3" xfId="3"/>
    <cellStyle name="Accent4" xfId="4"/>
    <cellStyle name="Accent5" xfId="5"/>
    <cellStyle name="Accent6" xfId="6"/>
    <cellStyle name="Bad" xfId="7"/>
    <cellStyle name="Calculation" xfId="8"/>
    <cellStyle name="Check Cell" xfId="9"/>
    <cellStyle name="Explanatory Text" xfId="10"/>
    <cellStyle name="Good" xfId="11"/>
    <cellStyle name="Hivatkozás" xfId="12" builtinId="8"/>
    <cellStyle name="Neutral" xfId="13"/>
    <cellStyle name="Normál" xfId="0" builtinId="0"/>
    <cellStyle name="Normal 2" xfId="14"/>
    <cellStyle name="Normál 2" xfId="15"/>
  </cellStyles>
  <dxfs count="3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bgColor rgb="FFFF000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ec.europa.eu/programmes/erasmus-plus/resources/distance-calculator_en"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8"/>
  <sheetViews>
    <sheetView tabSelected="1" zoomScale="97" zoomScaleNormal="97" zoomScalePageLayoutView="83" workbookViewId="0">
      <selection activeCell="E4" sqref="E4"/>
    </sheetView>
  </sheetViews>
  <sheetFormatPr defaultColWidth="12.42578125" defaultRowHeight="12.75"/>
  <cols>
    <col min="1" max="1" width="3" style="373" customWidth="1"/>
    <col min="2" max="3" width="12.42578125" style="373"/>
    <col min="4" max="4" width="7.28515625" style="373" customWidth="1"/>
    <col min="5" max="12" width="12.42578125" style="373"/>
    <col min="13" max="13" width="38.42578125" style="373" customWidth="1"/>
    <col min="14" max="16384" width="12.42578125" style="373"/>
  </cols>
  <sheetData>
    <row r="1" spans="1:16" ht="67.5" customHeight="1">
      <c r="A1" s="522" t="s">
        <v>492</v>
      </c>
      <c r="B1" s="523"/>
      <c r="C1" s="523"/>
      <c r="D1" s="523"/>
      <c r="E1" s="523"/>
      <c r="F1" s="523"/>
      <c r="G1" s="523"/>
      <c r="H1" s="523"/>
      <c r="I1" s="523"/>
      <c r="J1" s="523"/>
      <c r="K1" s="523"/>
      <c r="L1" s="523"/>
      <c r="M1" s="523"/>
      <c r="N1" s="523"/>
      <c r="O1" s="523"/>
      <c r="P1" s="524"/>
    </row>
    <row r="2" spans="1:16" ht="15.75" customHeight="1">
      <c r="A2" s="534" t="s">
        <v>486</v>
      </c>
      <c r="B2" s="535"/>
      <c r="C2" s="535"/>
      <c r="D2" s="535"/>
      <c r="E2" s="535"/>
      <c r="F2" s="535"/>
      <c r="G2" s="535"/>
      <c r="H2" s="535"/>
      <c r="I2" s="535"/>
      <c r="J2" s="535"/>
      <c r="K2" s="535"/>
      <c r="L2" s="535"/>
      <c r="M2" s="536"/>
    </row>
    <row r="3" spans="1:16">
      <c r="A3" s="377"/>
      <c r="B3" s="377"/>
      <c r="C3" s="377"/>
      <c r="D3" s="377"/>
      <c r="E3" s="377"/>
      <c r="F3" s="377"/>
      <c r="G3" s="377"/>
      <c r="H3" s="377"/>
      <c r="I3" s="377"/>
      <c r="J3" s="377"/>
      <c r="K3" s="377"/>
      <c r="L3" s="377"/>
      <c r="M3" s="377"/>
    </row>
    <row r="4" spans="1:16">
      <c r="A4" s="378" t="s">
        <v>330</v>
      </c>
      <c r="B4" s="377"/>
      <c r="C4" s="377"/>
      <c r="D4" s="377"/>
      <c r="E4" s="377"/>
      <c r="F4" s="377"/>
      <c r="G4" s="377"/>
      <c r="H4" s="377"/>
      <c r="I4" s="377"/>
      <c r="J4" s="377"/>
      <c r="K4" s="377"/>
      <c r="L4" s="377"/>
      <c r="M4" s="377"/>
    </row>
    <row r="5" spans="1:16" ht="133.5" customHeight="1">
      <c r="A5" s="378"/>
      <c r="B5" s="537" t="s">
        <v>463</v>
      </c>
      <c r="C5" s="538"/>
      <c r="D5" s="538"/>
      <c r="E5" s="538"/>
      <c r="F5" s="538"/>
      <c r="G5" s="538"/>
      <c r="H5" s="538"/>
      <c r="I5" s="538"/>
      <c r="J5" s="538"/>
      <c r="K5" s="538"/>
      <c r="L5" s="538"/>
      <c r="M5" s="539"/>
    </row>
    <row r="6" spans="1:16" ht="15.95" customHeight="1">
      <c r="A6" s="378"/>
      <c r="B6" s="540" t="s">
        <v>388</v>
      </c>
      <c r="C6" s="541"/>
      <c r="D6" s="541"/>
      <c r="E6" s="541"/>
      <c r="F6" s="541"/>
      <c r="G6" s="541"/>
      <c r="H6" s="541"/>
      <c r="I6" s="541"/>
      <c r="J6" s="541"/>
      <c r="K6" s="541"/>
      <c r="L6" s="541"/>
      <c r="M6" s="542"/>
    </row>
    <row r="7" spans="1:16" ht="18.95" customHeight="1">
      <c r="A7" s="377"/>
      <c r="C7" s="373" t="s">
        <v>488</v>
      </c>
      <c r="D7" s="377"/>
      <c r="E7" s="377"/>
      <c r="F7" s="377"/>
      <c r="G7" s="377"/>
      <c r="H7" s="377"/>
      <c r="I7" s="377"/>
      <c r="J7" s="377"/>
      <c r="K7" s="377"/>
      <c r="L7" s="377"/>
      <c r="M7" s="377"/>
    </row>
    <row r="8" spans="1:16" ht="20.100000000000001" customHeight="1">
      <c r="A8" s="377"/>
      <c r="C8" s="377" t="s">
        <v>384</v>
      </c>
      <c r="D8" s="377"/>
      <c r="E8" s="377"/>
      <c r="F8" s="377"/>
      <c r="G8" s="377"/>
      <c r="H8" s="377"/>
      <c r="I8" s="377"/>
      <c r="J8" s="377"/>
      <c r="K8" s="377"/>
      <c r="L8" s="377"/>
      <c r="M8" s="377"/>
    </row>
    <row r="9" spans="1:16" ht="20.100000000000001" customHeight="1">
      <c r="A9" s="377"/>
      <c r="C9" s="377" t="s">
        <v>483</v>
      </c>
      <c r="D9" s="377"/>
      <c r="E9" s="377"/>
      <c r="F9" s="377"/>
      <c r="G9" s="377"/>
      <c r="H9" s="377"/>
      <c r="I9" s="377"/>
      <c r="J9" s="377"/>
      <c r="K9" s="377"/>
      <c r="L9" s="377"/>
      <c r="M9" s="377"/>
    </row>
    <row r="10" spans="1:16" ht="18.95" customHeight="1">
      <c r="A10" s="377"/>
      <c r="C10" s="377" t="s">
        <v>395</v>
      </c>
      <c r="D10" s="377"/>
      <c r="E10" s="377"/>
      <c r="F10" s="377"/>
      <c r="G10" s="377"/>
      <c r="H10" s="377"/>
      <c r="I10" s="377"/>
      <c r="J10" s="377"/>
      <c r="K10" s="377"/>
      <c r="L10" s="377"/>
      <c r="M10" s="377"/>
    </row>
    <row r="11" spans="1:16" ht="18.95" customHeight="1">
      <c r="A11" s="377"/>
      <c r="B11" s="499" t="s">
        <v>487</v>
      </c>
      <c r="C11" s="377"/>
      <c r="D11" s="377"/>
      <c r="E11" s="377"/>
      <c r="F11" s="377"/>
      <c r="G11" s="377"/>
      <c r="H11" s="377"/>
      <c r="I11" s="377"/>
      <c r="J11" s="377"/>
      <c r="K11" s="377"/>
      <c r="L11" s="377"/>
      <c r="M11" s="377"/>
    </row>
    <row r="12" spans="1:16" ht="18.95" customHeight="1">
      <c r="A12" s="377"/>
      <c r="B12" s="377"/>
      <c r="C12" s="377"/>
      <c r="D12" s="377"/>
      <c r="E12" s="377"/>
      <c r="F12" s="377"/>
      <c r="G12" s="377"/>
      <c r="H12" s="377"/>
      <c r="I12" s="377"/>
      <c r="J12" s="377"/>
      <c r="K12" s="377"/>
      <c r="L12" s="377"/>
      <c r="M12" s="377"/>
    </row>
    <row r="13" spans="1:16">
      <c r="A13" s="377"/>
      <c r="B13" s="377" t="s">
        <v>396</v>
      </c>
      <c r="C13" s="377"/>
      <c r="D13" s="377"/>
      <c r="E13" s="377"/>
      <c r="F13" s="377"/>
      <c r="G13" s="377"/>
      <c r="H13" s="377"/>
      <c r="I13" s="377"/>
      <c r="J13" s="377"/>
      <c r="K13" s="377"/>
      <c r="L13" s="377"/>
      <c r="M13" s="377"/>
    </row>
    <row r="14" spans="1:16">
      <c r="A14" s="377"/>
      <c r="B14" s="377"/>
      <c r="C14" s="377"/>
      <c r="D14" s="377"/>
      <c r="E14" s="377"/>
      <c r="F14" s="377"/>
      <c r="G14" s="377"/>
      <c r="H14" s="377"/>
      <c r="I14" s="377"/>
      <c r="J14" s="377"/>
      <c r="K14" s="377"/>
      <c r="L14" s="377"/>
      <c r="M14" s="377"/>
    </row>
    <row r="15" spans="1:16">
      <c r="A15" s="378" t="s">
        <v>421</v>
      </c>
      <c r="B15" s="378" t="s">
        <v>376</v>
      </c>
      <c r="C15" s="377"/>
      <c r="D15" s="377"/>
      <c r="E15" s="377"/>
      <c r="F15" s="377"/>
      <c r="G15" s="377"/>
      <c r="H15" s="377"/>
      <c r="I15" s="377"/>
      <c r="J15" s="377"/>
      <c r="K15" s="377"/>
      <c r="L15" s="377"/>
      <c r="M15" s="377"/>
    </row>
    <row r="16" spans="1:16">
      <c r="A16" s="377"/>
      <c r="C16" s="377" t="s">
        <v>401</v>
      </c>
      <c r="D16" s="377"/>
      <c r="E16" s="377"/>
      <c r="F16" s="377"/>
      <c r="G16" s="377"/>
      <c r="H16" s="377"/>
      <c r="I16" s="377"/>
      <c r="J16" s="377"/>
      <c r="K16" s="377"/>
      <c r="L16" s="377"/>
      <c r="M16" s="377"/>
    </row>
    <row r="17" spans="1:15">
      <c r="A17" s="377"/>
      <c r="C17" s="379" t="s">
        <v>464</v>
      </c>
      <c r="D17" s="377"/>
      <c r="E17" s="377"/>
      <c r="F17" s="377"/>
      <c r="G17" s="377"/>
      <c r="H17" s="377"/>
      <c r="I17" s="377"/>
      <c r="J17" s="377"/>
      <c r="K17" s="377"/>
      <c r="L17" s="377"/>
      <c r="M17" s="377"/>
    </row>
    <row r="18" spans="1:15">
      <c r="A18" s="377"/>
      <c r="C18" s="377" t="s">
        <v>397</v>
      </c>
      <c r="D18" s="377"/>
      <c r="E18" s="377"/>
      <c r="F18" s="377"/>
      <c r="G18" s="377"/>
      <c r="H18" s="377"/>
      <c r="I18" s="377"/>
      <c r="J18" s="377"/>
      <c r="K18" s="377"/>
      <c r="L18" s="377"/>
      <c r="M18" s="377"/>
    </row>
    <row r="19" spans="1:15">
      <c r="A19" s="377"/>
      <c r="C19" s="515" t="s">
        <v>489</v>
      </c>
      <c r="D19" s="377"/>
      <c r="E19" s="377"/>
      <c r="F19" s="377"/>
      <c r="G19" s="377"/>
      <c r="H19" s="377"/>
      <c r="I19" s="377"/>
      <c r="J19" s="377"/>
      <c r="K19" s="377"/>
      <c r="L19" s="377"/>
      <c r="M19" s="377"/>
    </row>
    <row r="20" spans="1:15">
      <c r="A20" s="377"/>
      <c r="B20" s="379"/>
      <c r="C20" s="377"/>
      <c r="D20" s="377"/>
      <c r="E20" s="377"/>
      <c r="F20" s="377"/>
      <c r="G20" s="377"/>
      <c r="H20" s="377"/>
      <c r="I20" s="377"/>
      <c r="J20" s="377"/>
      <c r="K20" s="377"/>
      <c r="L20" s="377"/>
      <c r="M20" s="377"/>
    </row>
    <row r="21" spans="1:15">
      <c r="A21" s="378" t="s">
        <v>377</v>
      </c>
      <c r="B21" s="378" t="s">
        <v>474</v>
      </c>
      <c r="C21" s="378"/>
      <c r="D21" s="378"/>
      <c r="E21" s="377"/>
      <c r="F21" s="264"/>
      <c r="G21" s="264"/>
      <c r="H21" s="264"/>
      <c r="I21" s="264"/>
      <c r="J21" s="264"/>
      <c r="K21" s="264"/>
      <c r="L21" s="264"/>
      <c r="M21" s="264"/>
    </row>
    <row r="22" spans="1:15" ht="69" customHeight="1">
      <c r="A22" s="377"/>
      <c r="B22" s="550" t="s">
        <v>490</v>
      </c>
      <c r="C22" s="551"/>
      <c r="D22" s="551"/>
      <c r="E22" s="551"/>
      <c r="F22" s="551"/>
      <c r="G22" s="551"/>
      <c r="H22" s="551"/>
      <c r="I22" s="551"/>
      <c r="J22" s="551"/>
      <c r="K22" s="551"/>
      <c r="L22" s="551"/>
      <c r="M22" s="551"/>
      <c r="N22" s="552"/>
    </row>
    <row r="23" spans="1:15" ht="46.5" customHeight="1">
      <c r="A23" s="377"/>
      <c r="B23" s="543" t="s">
        <v>491</v>
      </c>
      <c r="C23" s="529"/>
      <c r="D23" s="529"/>
      <c r="E23" s="529"/>
      <c r="F23" s="529"/>
      <c r="G23" s="529"/>
      <c r="H23" s="529"/>
      <c r="I23" s="529"/>
      <c r="J23" s="529"/>
      <c r="K23" s="529"/>
      <c r="L23" s="529"/>
      <c r="M23" s="529"/>
      <c r="N23" s="529"/>
      <c r="O23" s="530"/>
    </row>
    <row r="24" spans="1:15" ht="15" customHeight="1">
      <c r="A24" s="377"/>
      <c r="B24" s="544" t="s">
        <v>485</v>
      </c>
      <c r="C24" s="545"/>
      <c r="D24" s="545"/>
      <c r="E24" s="545"/>
      <c r="F24" s="545"/>
      <c r="G24" s="545"/>
      <c r="H24" s="545"/>
      <c r="I24" s="545"/>
      <c r="J24" s="545"/>
      <c r="K24" s="545"/>
      <c r="L24" s="545"/>
      <c r="M24" s="545"/>
      <c r="N24" s="546"/>
    </row>
    <row r="25" spans="1:15" ht="57.75" customHeight="1">
      <c r="A25" s="377"/>
      <c r="B25" s="547"/>
      <c r="C25" s="548"/>
      <c r="D25" s="548"/>
      <c r="E25" s="548"/>
      <c r="F25" s="548"/>
      <c r="G25" s="548"/>
      <c r="H25" s="548"/>
      <c r="I25" s="548"/>
      <c r="J25" s="548"/>
      <c r="K25" s="548"/>
      <c r="L25" s="548"/>
      <c r="M25" s="548"/>
      <c r="N25" s="549"/>
    </row>
    <row r="26" spans="1:15">
      <c r="A26" s="377"/>
      <c r="B26" s="377"/>
      <c r="C26" s="377"/>
      <c r="D26" s="377"/>
      <c r="E26" s="377"/>
      <c r="F26" s="377"/>
      <c r="G26" s="377"/>
      <c r="H26" s="377"/>
      <c r="I26" s="377"/>
      <c r="J26" s="377"/>
      <c r="K26" s="377"/>
      <c r="L26" s="377"/>
      <c r="M26" s="377"/>
    </row>
    <row r="27" spans="1:15">
      <c r="A27" s="378" t="s">
        <v>422</v>
      </c>
      <c r="B27" s="378" t="s">
        <v>333</v>
      </c>
      <c r="C27" s="377"/>
      <c r="D27" s="377"/>
      <c r="E27" s="377"/>
      <c r="F27" s="377"/>
      <c r="G27" s="377"/>
      <c r="H27" s="377"/>
      <c r="I27" s="377"/>
      <c r="J27" s="377"/>
      <c r="K27" s="377"/>
      <c r="L27" s="377"/>
      <c r="M27" s="377"/>
    </row>
    <row r="28" spans="1:15" ht="25.5" customHeight="1">
      <c r="A28" s="377"/>
      <c r="B28" s="528" t="s">
        <v>458</v>
      </c>
      <c r="C28" s="529"/>
      <c r="D28" s="529"/>
      <c r="E28" s="529"/>
      <c r="F28" s="529"/>
      <c r="G28" s="529"/>
      <c r="H28" s="529"/>
      <c r="I28" s="529"/>
      <c r="J28" s="529"/>
      <c r="K28" s="529"/>
      <c r="L28" s="529"/>
      <c r="M28" s="530"/>
    </row>
    <row r="29" spans="1:15">
      <c r="A29" s="377"/>
      <c r="B29" s="377" t="s">
        <v>456</v>
      </c>
      <c r="C29" s="377"/>
      <c r="D29" s="377"/>
      <c r="E29" s="377"/>
      <c r="F29" s="377"/>
      <c r="G29" s="377"/>
      <c r="H29" s="377"/>
      <c r="I29" s="377"/>
      <c r="J29" s="377"/>
      <c r="K29" s="377"/>
      <c r="L29" s="377"/>
      <c r="M29" s="377"/>
    </row>
    <row r="30" spans="1:15">
      <c r="A30" s="377"/>
      <c r="B30" s="377"/>
      <c r="C30" s="377"/>
      <c r="D30" s="377"/>
      <c r="E30" s="377"/>
      <c r="F30" s="377"/>
      <c r="G30" s="377"/>
      <c r="H30" s="377"/>
      <c r="I30" s="377"/>
      <c r="J30" s="377"/>
      <c r="K30" s="377"/>
      <c r="L30" s="377"/>
      <c r="M30" s="377"/>
    </row>
    <row r="31" spans="1:15">
      <c r="A31" s="378" t="s">
        <v>423</v>
      </c>
      <c r="B31" s="378" t="s">
        <v>457</v>
      </c>
      <c r="C31" s="377"/>
      <c r="D31" s="377"/>
      <c r="E31" s="377"/>
      <c r="F31" s="377"/>
      <c r="G31" s="377"/>
      <c r="H31" s="377"/>
      <c r="I31" s="377"/>
      <c r="J31" s="377"/>
      <c r="K31" s="377"/>
      <c r="L31" s="377"/>
      <c r="M31" s="377"/>
    </row>
    <row r="32" spans="1:15">
      <c r="A32" s="377"/>
      <c r="B32" s="377" t="s">
        <v>385</v>
      </c>
      <c r="C32" s="377"/>
      <c r="D32" s="377"/>
      <c r="E32" s="377"/>
      <c r="F32" s="377"/>
      <c r="G32" s="377"/>
      <c r="H32" s="377"/>
      <c r="I32" s="377"/>
      <c r="J32" s="377"/>
      <c r="K32" s="377"/>
      <c r="L32" s="377"/>
      <c r="M32" s="377"/>
    </row>
    <row r="33" spans="1:14">
      <c r="A33" s="377"/>
      <c r="B33" s="377" t="s">
        <v>334</v>
      </c>
      <c r="C33" s="377"/>
      <c r="D33" s="377"/>
      <c r="E33" s="377"/>
      <c r="F33" s="377"/>
      <c r="G33" s="377"/>
      <c r="H33" s="377"/>
      <c r="I33" s="377"/>
      <c r="J33" s="377"/>
      <c r="K33" s="377"/>
      <c r="L33" s="377"/>
      <c r="M33" s="377"/>
    </row>
    <row r="34" spans="1:14">
      <c r="A34" s="377"/>
      <c r="B34" s="377"/>
      <c r="C34" s="377"/>
      <c r="D34" s="377"/>
      <c r="E34" s="377"/>
      <c r="F34" s="377"/>
      <c r="G34" s="377"/>
      <c r="H34" s="377"/>
      <c r="I34" s="377"/>
      <c r="J34" s="377"/>
      <c r="K34" s="377"/>
      <c r="L34" s="377"/>
      <c r="M34" s="377"/>
    </row>
    <row r="35" spans="1:14">
      <c r="A35" s="378" t="s">
        <v>378</v>
      </c>
      <c r="B35" s="378" t="s">
        <v>332</v>
      </c>
      <c r="C35" s="377"/>
      <c r="D35" s="377"/>
      <c r="E35" s="377"/>
      <c r="F35" s="377"/>
      <c r="G35" s="377"/>
      <c r="H35" s="377"/>
      <c r="I35" s="377"/>
      <c r="J35" s="377"/>
      <c r="K35" s="377"/>
      <c r="L35" s="377"/>
      <c r="M35" s="377"/>
    </row>
    <row r="36" spans="1:14">
      <c r="A36" s="531" t="s">
        <v>473</v>
      </c>
      <c r="B36" s="532"/>
      <c r="C36" s="532"/>
      <c r="D36" s="532"/>
      <c r="E36" s="532"/>
      <c r="F36" s="532"/>
      <c r="G36" s="532"/>
      <c r="H36" s="532"/>
      <c r="I36" s="532"/>
      <c r="J36" s="532"/>
      <c r="K36" s="532"/>
      <c r="L36" s="532"/>
      <c r="M36" s="533"/>
    </row>
    <row r="37" spans="1:14">
      <c r="A37" s="377"/>
      <c r="B37" s="377"/>
      <c r="C37" s="377"/>
      <c r="D37" s="377"/>
      <c r="E37" s="377"/>
      <c r="F37" s="377"/>
      <c r="G37" s="377"/>
      <c r="H37" s="377"/>
      <c r="I37" s="377"/>
      <c r="J37" s="377"/>
      <c r="K37" s="377"/>
      <c r="L37" s="377"/>
      <c r="M37" s="377"/>
    </row>
    <row r="38" spans="1:14" ht="27.95" customHeight="1">
      <c r="A38" s="378" t="s">
        <v>424</v>
      </c>
      <c r="B38" s="519" t="s">
        <v>465</v>
      </c>
      <c r="C38" s="520"/>
      <c r="D38" s="520"/>
      <c r="E38" s="520"/>
      <c r="F38" s="520"/>
      <c r="G38" s="520"/>
      <c r="H38" s="520"/>
      <c r="I38" s="520"/>
      <c r="J38" s="520"/>
      <c r="K38" s="520"/>
      <c r="L38" s="520"/>
      <c r="M38" s="521"/>
    </row>
    <row r="39" spans="1:14">
      <c r="A39" s="377"/>
      <c r="B39" s="377"/>
      <c r="C39" s="377"/>
      <c r="D39" s="377"/>
      <c r="E39" s="377"/>
      <c r="F39" s="377"/>
      <c r="G39" s="377"/>
      <c r="H39" s="377"/>
      <c r="I39" s="377"/>
      <c r="J39" s="377"/>
      <c r="K39" s="377"/>
      <c r="L39" s="377"/>
      <c r="M39" s="377"/>
    </row>
    <row r="40" spans="1:14" ht="66" customHeight="1">
      <c r="A40" s="378" t="s">
        <v>379</v>
      </c>
      <c r="B40" s="519" t="s">
        <v>466</v>
      </c>
      <c r="C40" s="520"/>
      <c r="D40" s="520"/>
      <c r="E40" s="520"/>
      <c r="F40" s="520"/>
      <c r="G40" s="520"/>
      <c r="H40" s="520"/>
      <c r="I40" s="520"/>
      <c r="J40" s="520"/>
      <c r="K40" s="520"/>
      <c r="L40" s="520"/>
      <c r="M40" s="521"/>
      <c r="N40" s="376"/>
    </row>
    <row r="41" spans="1:14">
      <c r="A41" s="377"/>
      <c r="B41" s="519" t="s">
        <v>425</v>
      </c>
      <c r="C41" s="520"/>
      <c r="D41" s="520"/>
      <c r="E41" s="520"/>
      <c r="F41" s="520"/>
      <c r="G41" s="520"/>
      <c r="H41" s="520"/>
      <c r="I41" s="520"/>
      <c r="J41" s="520"/>
      <c r="K41" s="520"/>
      <c r="L41" s="520"/>
      <c r="M41" s="521"/>
    </row>
    <row r="42" spans="1:14" ht="61.5" customHeight="1">
      <c r="A42" s="377"/>
      <c r="B42" s="380"/>
      <c r="C42" s="519" t="s">
        <v>426</v>
      </c>
      <c r="D42" s="520"/>
      <c r="E42" s="520"/>
      <c r="F42" s="520"/>
      <c r="G42" s="520"/>
      <c r="H42" s="520"/>
      <c r="I42" s="520"/>
      <c r="J42" s="520"/>
      <c r="K42" s="520"/>
      <c r="L42" s="520"/>
      <c r="M42" s="521"/>
    </row>
    <row r="43" spans="1:14" ht="15">
      <c r="A43" s="377" t="s">
        <v>467</v>
      </c>
      <c r="B43" s="378" t="s">
        <v>335</v>
      </c>
      <c r="C43" s="377"/>
      <c r="D43" s="377"/>
      <c r="E43" s="377"/>
      <c r="F43" s="377"/>
      <c r="G43" s="377"/>
      <c r="H43" s="377"/>
      <c r="I43" s="377"/>
      <c r="J43" s="377"/>
      <c r="K43" s="377"/>
      <c r="L43" s="377"/>
      <c r="M43" s="377"/>
    </row>
    <row r="44" spans="1:14" s="501" customFormat="1" ht="26.25" customHeight="1">
      <c r="A44" s="500" t="s">
        <v>331</v>
      </c>
    </row>
    <row r="45" spans="1:14" s="374" customFormat="1" ht="17.100000000000001" customHeight="1">
      <c r="A45" s="381"/>
      <c r="B45" s="382"/>
      <c r="C45" s="382"/>
      <c r="D45" s="382"/>
      <c r="E45" s="382"/>
      <c r="F45" s="382"/>
      <c r="G45" s="382"/>
      <c r="H45" s="382"/>
      <c r="I45" s="382"/>
      <c r="J45" s="382"/>
      <c r="K45" s="382"/>
      <c r="L45" s="382"/>
      <c r="M45" s="382"/>
    </row>
    <row r="46" spans="1:14" s="375" customFormat="1" ht="21" customHeight="1">
      <c r="A46" s="383"/>
      <c r="B46" s="384"/>
      <c r="C46" s="384"/>
      <c r="D46" s="384"/>
      <c r="E46" s="384"/>
      <c r="F46" s="384"/>
      <c r="G46" s="384"/>
      <c r="H46" s="384"/>
      <c r="I46" s="384"/>
      <c r="J46" s="384"/>
      <c r="K46" s="384"/>
      <c r="L46" s="384"/>
      <c r="M46" s="384"/>
    </row>
    <row r="47" spans="1:14">
      <c r="A47" s="379"/>
      <c r="B47" s="525"/>
      <c r="C47" s="526"/>
      <c r="D47" s="526"/>
      <c r="E47" s="526"/>
      <c r="F47" s="526"/>
      <c r="G47" s="526"/>
      <c r="H47" s="526"/>
      <c r="I47" s="526"/>
      <c r="J47" s="526"/>
      <c r="K47" s="526"/>
      <c r="L47" s="526"/>
      <c r="M47" s="527"/>
    </row>
    <row r="48" spans="1:14" ht="90.75" customHeight="1">
      <c r="A48" s="377"/>
      <c r="B48" s="516"/>
      <c r="C48" s="517"/>
      <c r="D48" s="517"/>
      <c r="E48" s="517"/>
      <c r="F48" s="517"/>
      <c r="G48" s="517"/>
      <c r="H48" s="517"/>
      <c r="I48" s="517"/>
      <c r="J48" s="517"/>
      <c r="K48" s="517"/>
      <c r="L48" s="517"/>
      <c r="M48" s="518"/>
    </row>
  </sheetData>
  <sheetProtection password="B516" sheet="1" objects="1" scenarios="1"/>
  <mergeCells count="15">
    <mergeCell ref="B48:M48"/>
    <mergeCell ref="B41:M41"/>
    <mergeCell ref="A1:P1"/>
    <mergeCell ref="B38:M38"/>
    <mergeCell ref="B40:M40"/>
    <mergeCell ref="C42:M42"/>
    <mergeCell ref="B47:M47"/>
    <mergeCell ref="B28:M28"/>
    <mergeCell ref="A36:M36"/>
    <mergeCell ref="A2:M2"/>
    <mergeCell ref="B5:M5"/>
    <mergeCell ref="B6:M6"/>
    <mergeCell ref="B23:O23"/>
    <mergeCell ref="B24:N25"/>
    <mergeCell ref="B22:N22"/>
  </mergeCells>
  <phoneticPr fontId="7" type="noConversion"/>
  <hyperlinks>
    <hyperlink ref="A36" r:id="rId1"/>
  </hyperlinks>
  <pageMargins left="0.35433070866141736" right="0.35433070866141736" top="0.59055118110236227" bottom="0.98425196850393704" header="0.31496062992125984" footer="0.51181102362204722"/>
  <pageSetup paperSize="9" scale="68" fitToHeight="4" orientation="landscape" horizontalDpi="4294967292" verticalDpi="4294967292" r:id="rId2"/>
  <headerFooter>
    <oddHeader>&amp;C 2020 - C2  E+ KA226 - HED&amp;RVersion: 2020.09.08. - TKA</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X107"/>
  <sheetViews>
    <sheetView topLeftCell="E1" zoomScale="85" zoomScaleNormal="85" zoomScalePageLayoutView="59" workbookViewId="0">
      <selection activeCell="K23" sqref="K23"/>
    </sheetView>
  </sheetViews>
  <sheetFormatPr defaultColWidth="8.85546875" defaultRowHeight="12.75"/>
  <cols>
    <col min="1" max="1" width="36.42578125" style="53" customWidth="1"/>
    <col min="2" max="2" width="23.42578125" style="54" customWidth="1"/>
    <col min="3" max="3" width="7.28515625" style="41" customWidth="1"/>
    <col min="4" max="4" width="35.42578125" style="55" customWidth="1"/>
    <col min="5" max="5" width="10.85546875" style="41" customWidth="1"/>
    <col min="6" max="6" width="5.28515625" style="41" customWidth="1"/>
    <col min="7" max="7" width="5" style="41" bestFit="1" customWidth="1"/>
    <col min="8" max="8" width="11" style="41" customWidth="1"/>
    <col min="9" max="9" width="5.28515625" style="41" customWidth="1"/>
    <col min="10" max="10" width="5.7109375" style="41" customWidth="1"/>
    <col min="11" max="11" width="8.42578125" style="49" customWidth="1"/>
    <col min="12" max="12" width="17.28515625" style="56" bestFit="1" customWidth="1"/>
    <col min="13" max="13" width="10" style="42" bestFit="1" customWidth="1"/>
    <col min="14" max="14" width="11.28515625" style="42" customWidth="1"/>
    <col min="15" max="15" width="10.7109375" style="42" customWidth="1"/>
    <col min="16" max="16" width="10.42578125" style="42" bestFit="1" customWidth="1"/>
    <col min="17" max="17" width="10.140625" style="42" bestFit="1" customWidth="1"/>
    <col min="18" max="18" width="9.42578125" style="42" customWidth="1"/>
    <col min="19" max="19" width="11.42578125" style="42" bestFit="1" customWidth="1"/>
    <col min="20" max="16384" width="8.85546875" style="49"/>
  </cols>
  <sheetData>
    <row r="1" spans="1:258" s="367" customFormat="1" ht="15.75">
      <c r="A1" s="142" t="s">
        <v>389</v>
      </c>
      <c r="B1" s="143"/>
      <c r="C1" s="365"/>
      <c r="D1" s="366"/>
      <c r="E1" s="611" t="s">
        <v>468</v>
      </c>
      <c r="F1" s="612"/>
      <c r="G1" s="612"/>
      <c r="H1" s="613"/>
      <c r="J1" s="617" t="s">
        <v>398</v>
      </c>
      <c r="K1" s="618"/>
      <c r="L1" s="618"/>
      <c r="M1" s="618"/>
      <c r="N1" s="618"/>
      <c r="O1" s="618"/>
      <c r="P1" s="618"/>
      <c r="Q1" s="618"/>
      <c r="R1" s="61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610" t="s">
        <v>451</v>
      </c>
      <c r="C2" s="610"/>
      <c r="D2" s="143"/>
      <c r="E2" s="614"/>
      <c r="F2" s="615"/>
      <c r="G2" s="615"/>
      <c r="H2" s="616"/>
      <c r="J2" s="620"/>
      <c r="K2" s="621"/>
      <c r="L2" s="621"/>
      <c r="M2" s="621"/>
      <c r="N2" s="621"/>
      <c r="O2" s="621"/>
      <c r="P2" s="621"/>
      <c r="Q2" s="621"/>
      <c r="R2" s="622"/>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00" t="s">
        <v>143</v>
      </c>
      <c r="E4" s="571" t="s">
        <v>381</v>
      </c>
      <c r="F4" s="606" t="s">
        <v>402</v>
      </c>
      <c r="G4" s="607"/>
      <c r="H4" s="571" t="s">
        <v>380</v>
      </c>
      <c r="I4" s="602" t="s">
        <v>403</v>
      </c>
      <c r="J4" s="603"/>
      <c r="K4" s="594" t="s">
        <v>448</v>
      </c>
      <c r="L4" s="592" t="s">
        <v>120</v>
      </c>
      <c r="M4" s="590" t="s">
        <v>145</v>
      </c>
      <c r="N4" s="598" t="s">
        <v>328</v>
      </c>
      <c r="O4" s="599"/>
      <c r="P4" s="590"/>
      <c r="Q4" s="596" t="s">
        <v>326</v>
      </c>
      <c r="R4" s="597"/>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39" thickBot="1">
      <c r="A5" s="566"/>
      <c r="B5" s="568"/>
      <c r="C5" s="572"/>
      <c r="D5" s="601"/>
      <c r="E5" s="572"/>
      <c r="F5" s="608"/>
      <c r="G5" s="609"/>
      <c r="H5" s="572"/>
      <c r="I5" s="604"/>
      <c r="J5" s="605"/>
      <c r="K5" s="595"/>
      <c r="L5" s="593"/>
      <c r="M5" s="591"/>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157"/>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t="str">
        <f>IF(ISBLANK(A7),"",VLOOKUP(A7,Management!$A$11:$C$25,2,0))</f>
        <v/>
      </c>
      <c r="C7" s="429"/>
      <c r="D7" s="57"/>
      <c r="E7" s="429"/>
      <c r="F7" s="430"/>
      <c r="G7" s="94" t="str">
        <f>IF(ISBLANK($D7),"","days")</f>
        <v/>
      </c>
      <c r="H7" s="431"/>
      <c r="I7" s="430"/>
      <c r="J7" s="94" t="str">
        <f>IF(ISBLANK($D7),"","days")</f>
        <v/>
      </c>
      <c r="K7" s="80"/>
      <c r="L7" s="361"/>
      <c r="M7" s="252" t="str">
        <f t="shared" ref="M7:M38" si="0">IF(ISBLANK(L7),"",(E7+H7)*VLOOKUP(L7,TravelGrant,2,0))</f>
        <v/>
      </c>
      <c r="N7" s="181" t="str">
        <f>IF(OR(ISBLANK($D7),ISBLANK($K7),ISBLANK($L7)),"",IF($L7="0–9 km",0,IF(LEFT($D7,18)="Long-term teaching",VLOOKUP($K7,Subsistence,2,0)*14+VLOOKUP($K7,Subsistence,3,0)*46+VLOOKUP($K7,Subsistence,4,0)*($F7-60),IF(LEFT($D7,18)="Short-term joint s",IF($F7&lt;15,Ceilings!$S$3*$F7,Ceilings!$S$3*14+Ceilings!$S$4*($F7-14)),IF($F7&lt;15,Ceilings!$S$6*$F7,Ceilings!$S$6*14+Ceilings!$S$7*($F7-14))))))</f>
        <v/>
      </c>
      <c r="O7" s="182" t="str">
        <f>IF(OR(ISBLANK(D7),ISBLANK(H7),ISBLANK(K7),ISBLANK(L7)),"",IF(L7="0–9 km",0,IF(I7&lt;15,Ceilings!$S$3*I7,Ceilings!$S$3*14+Ceilings!$S$4*(I7-14))))</f>
        <v/>
      </c>
      <c r="P7" s="180" t="str">
        <f t="shared" ref="P7:P13" si="1">IF(N7="","",$E7*N7+IF(O7="",0,$H7*O7))</f>
        <v/>
      </c>
      <c r="Q7" s="432"/>
      <c r="R7" s="265" t="str">
        <f>IF(OR(ISBLANK($D7),ISBLANK($K7),ISBLANK(Q7)),"",Ceilings!$V$3*Q7)</f>
        <v/>
      </c>
      <c r="S7" s="174" t="str">
        <f t="shared" ref="S7:S38" si="2">IF(ISBLANK($A7),"",IF(OR(ISBLANK($C7),ISBLANK($D7),ISBLANK($E7),ISBLANK($K7)),"Missing data",SUM($M7,$P7,$R7)))</f>
        <v/>
      </c>
    </row>
    <row r="8" spans="1:258" ht="15.75" customHeight="1">
      <c r="A8" s="506"/>
      <c r="B8" s="51" t="str">
        <f>IF(ISBLANK(A8),"",VLOOKUP(A8,Management!$A$11:$C$25,2,0))</f>
        <v/>
      </c>
      <c r="C8" s="433"/>
      <c r="D8" s="421"/>
      <c r="E8" s="433"/>
      <c r="F8" s="434"/>
      <c r="G8" s="95" t="str">
        <f t="shared" ref="G8:G106" si="3">IF(ISBLANK($D8),"","days")</f>
        <v/>
      </c>
      <c r="H8" s="435"/>
      <c r="I8" s="434"/>
      <c r="J8" s="95" t="str">
        <f t="shared" ref="J8:J106" si="4">IF(ISBLANK($D8),"","days")</f>
        <v/>
      </c>
      <c r="K8" s="81"/>
      <c r="L8" s="362"/>
      <c r="M8" s="256" t="str">
        <f t="shared" si="0"/>
        <v/>
      </c>
      <c r="N8" s="184" t="str">
        <f>IF(OR(ISBLANK($D8),ISBLANK($K8),ISBLANK($L8)),"",IF($L8="0–9 km",0,IF(LEFT($D8,18)="Long-term teaching",VLOOKUP($K8,Subsistence,2,0)*14+VLOOKUP($K8,Subsistence,3,0)*46+VLOOKUP($K8,Subsistence,4,0)*($F8-60),IF(LEFT($D8,18)="Short-term joint s",IF($F8&lt;15,Ceilings!$S$3*$F8,Ceilings!$S$3*14+Ceilings!$S$4*($F8-14)),IF($F8&lt;15,Ceilings!$S$6*$F8,Ceilings!$S$6*14+Ceilings!$S$7*($F8-14))))))</f>
        <v/>
      </c>
      <c r="O8" s="185" t="str">
        <f>IF(OR(ISBLANK(D8),ISBLANK(H8),ISBLANK(K8),ISBLANK(L8)),"",IF(L8="0–9 km",0,IF(I8&lt;15,Ceilings!$S$3*I8,Ceilings!$S$3*14+Ceilings!$S$4*(I8-14))))</f>
        <v/>
      </c>
      <c r="P8" s="183" t="str">
        <f t="shared" si="1"/>
        <v/>
      </c>
      <c r="Q8" s="436"/>
      <c r="R8" s="266" t="str">
        <f>IF(OR(ISBLANK($D8),ISBLANK($K8),ISBLANK(Q8)),"",Ceilings!$V$3*Q8)</f>
        <v/>
      </c>
      <c r="S8" s="72" t="str">
        <f t="shared" si="2"/>
        <v/>
      </c>
    </row>
    <row r="9" spans="1:258" ht="15.75" customHeight="1">
      <c r="A9" s="506"/>
      <c r="B9" s="51" t="str">
        <f>IF(ISBLANK(A9),"",VLOOKUP(A9,Management!$A$11:$C$25,2,0))</f>
        <v/>
      </c>
      <c r="C9" s="433"/>
      <c r="D9" s="421"/>
      <c r="E9" s="433"/>
      <c r="F9" s="434"/>
      <c r="G9" s="95" t="str">
        <f t="shared" si="3"/>
        <v/>
      </c>
      <c r="H9" s="435"/>
      <c r="I9" s="434"/>
      <c r="J9" s="95" t="str">
        <f t="shared" si="4"/>
        <v/>
      </c>
      <c r="K9" s="81"/>
      <c r="L9" s="362"/>
      <c r="M9" s="256" t="str">
        <f t="shared" si="0"/>
        <v/>
      </c>
      <c r="N9" s="184" t="str">
        <f>IF(OR(ISBLANK($D9),ISBLANK($K9),ISBLANK($L9)),"",IF($L9="0–9 km",0,IF(LEFT($D9,18)="Long-term teaching",VLOOKUP($K9,Subsistence,2,0)*14+VLOOKUP($K9,Subsistence,3,0)*46+VLOOKUP($K9,Subsistence,4,0)*($F9-60),IF(LEFT($D9,18)="Short-term joint s",IF($F9&lt;15,Ceilings!$S$3*$F9,Ceilings!$S$3*14+Ceilings!$S$4*($F9-14)),IF($F9&lt;15,Ceilings!$S$6*$F9,Ceilings!$S$6*14+Ceilings!$S$7*($F9-14))))))</f>
        <v/>
      </c>
      <c r="O9" s="185" t="str">
        <f>IF(OR(ISBLANK(D9),ISBLANK(H9),ISBLANK(K9),ISBLANK(L9)),"",IF(L9="0–9 km",0,IF(I9&lt;15,Ceilings!$S$3*I9,Ceilings!$S$3*14+Ceilings!$S$4*(I9-14))))</f>
        <v/>
      </c>
      <c r="P9" s="183" t="str">
        <f t="shared" si="1"/>
        <v/>
      </c>
      <c r="Q9" s="436"/>
      <c r="R9" s="266" t="str">
        <f>IF(OR(ISBLANK($D9),ISBLANK($K9),ISBLANK(Q9)),"",Ceilings!$V$3*Q9)</f>
        <v/>
      </c>
      <c r="S9" s="72" t="str">
        <f t="shared" si="2"/>
        <v/>
      </c>
    </row>
    <row r="10" spans="1:258" ht="15.75" customHeight="1">
      <c r="A10" s="506"/>
      <c r="B10" s="51" t="str">
        <f>IF(ISBLANK(A10),"",VLOOKUP(A10,Management!$A$11:$C$25,2,0))</f>
        <v/>
      </c>
      <c r="C10" s="433"/>
      <c r="D10" s="421"/>
      <c r="E10" s="433"/>
      <c r="F10" s="434"/>
      <c r="G10" s="95" t="str">
        <f t="shared" si="3"/>
        <v/>
      </c>
      <c r="H10" s="435"/>
      <c r="I10" s="434"/>
      <c r="J10" s="95" t="str">
        <f t="shared" si="4"/>
        <v/>
      </c>
      <c r="K10" s="81"/>
      <c r="L10" s="362"/>
      <c r="M10" s="256" t="str">
        <f t="shared" si="0"/>
        <v/>
      </c>
      <c r="N10" s="184" t="str">
        <f>IF(OR(ISBLANK($D10),ISBLANK($K10),ISBLANK($L10)),"",IF($L10="0–9 km",0,IF(LEFT($D10,18)="Long-term teaching",VLOOKUP($K10,Subsistence,2,0)*14+VLOOKUP($K10,Subsistence,3,0)*46+VLOOKUP($K10,Subsistence,4,0)*($F10-60),IF(LEFT($D10,18)="Short-term joint s",IF($F10&lt;15,Ceilings!$S$3*$F10,Ceilings!$S$3*14+Ceilings!$S$4*($F10-14)),IF($F10&lt;15,Ceilings!$S$6*$F10,Ceilings!$S$6*14+Ceilings!$S$7*($F10-14))))))</f>
        <v/>
      </c>
      <c r="O10" s="185" t="str">
        <f>IF(OR(ISBLANK(D10),ISBLANK(H10),ISBLANK(K10),ISBLANK(L10)),"",IF(L10="0–9 km",0,IF(I10&lt;15,Ceilings!$S$3*I10,Ceilings!$S$3*14+Ceilings!$S$4*(I10-14))))</f>
        <v/>
      </c>
      <c r="P10" s="183" t="str">
        <f t="shared" si="1"/>
        <v/>
      </c>
      <c r="Q10" s="436"/>
      <c r="R10" s="266" t="str">
        <f>IF(OR(ISBLANK($D10),ISBLANK($K10),ISBLANK(Q10)),"",Ceilings!$V$3*Q10)</f>
        <v/>
      </c>
      <c r="S10" s="72" t="str">
        <f t="shared" si="2"/>
        <v/>
      </c>
    </row>
    <row r="11" spans="1:258" ht="15.75" customHeight="1">
      <c r="A11" s="506"/>
      <c r="B11" s="51" t="str">
        <f>IF(ISBLANK(A11),"",VLOOKUP(A11,Management!$A$11:$C$25,2,0))</f>
        <v/>
      </c>
      <c r="C11" s="433"/>
      <c r="D11" s="421"/>
      <c r="E11" s="433"/>
      <c r="F11" s="434"/>
      <c r="G11" s="95" t="str">
        <f t="shared" si="3"/>
        <v/>
      </c>
      <c r="H11" s="435"/>
      <c r="I11" s="434"/>
      <c r="J11" s="95" t="str">
        <f t="shared" si="4"/>
        <v/>
      </c>
      <c r="K11" s="81"/>
      <c r="L11" s="362"/>
      <c r="M11" s="256" t="str">
        <f t="shared" si="0"/>
        <v/>
      </c>
      <c r="N11" s="184" t="str">
        <f>IF(OR(ISBLANK($D11),ISBLANK($K11),ISBLANK($L11)),"",IF($L11="0–9 km",0,IF(LEFT($D11,18)="Long-term teaching",VLOOKUP($K11,Subsistence,2,0)*14+VLOOKUP($K11,Subsistence,3,0)*46+VLOOKUP($K11,Subsistence,4,0)*($F11-60),IF(LEFT($D11,18)="Short-term joint s",IF($F11&lt;15,Ceilings!$S$3*$F11,Ceilings!$S$3*14+Ceilings!$S$4*($F11-14)),IF($F11&lt;15,Ceilings!$S$6*$F11,Ceilings!$S$6*14+Ceilings!$S$7*($F11-14))))))</f>
        <v/>
      </c>
      <c r="O11" s="185" t="str">
        <f>IF(OR(ISBLANK(D11),ISBLANK(H11),ISBLANK(K11),ISBLANK(L11)),"",IF(L11="0–9 km",0,IF(I11&lt;15,Ceilings!$S$3*I11,Ceilings!$S$3*14+Ceilings!$S$4*(I11-14))))</f>
        <v/>
      </c>
      <c r="P11" s="183" t="str">
        <f t="shared" si="1"/>
        <v/>
      </c>
      <c r="Q11" s="436"/>
      <c r="R11" s="266" t="str">
        <f>IF(OR(ISBLANK($D11),ISBLANK($K11),ISBLANK(Q11)),"",Ceilings!$V$3*Q11)</f>
        <v/>
      </c>
      <c r="S11" s="72" t="str">
        <f t="shared" si="2"/>
        <v/>
      </c>
    </row>
    <row r="12" spans="1:258" ht="15.75" customHeight="1">
      <c r="A12" s="506"/>
      <c r="B12" s="51" t="str">
        <f>IF(ISBLANK(A12),"",VLOOKUP(A12,Management!$A$11:$C$25,2,0))</f>
        <v/>
      </c>
      <c r="C12" s="433"/>
      <c r="D12" s="421"/>
      <c r="E12" s="433"/>
      <c r="F12" s="434"/>
      <c r="G12" s="95" t="str">
        <f t="shared" si="3"/>
        <v/>
      </c>
      <c r="H12" s="435"/>
      <c r="I12" s="434"/>
      <c r="J12" s="95" t="str">
        <f t="shared" si="4"/>
        <v/>
      </c>
      <c r="K12" s="81"/>
      <c r="L12" s="362"/>
      <c r="M12" s="256" t="str">
        <f t="shared" si="0"/>
        <v/>
      </c>
      <c r="N12" s="184" t="str">
        <f>IF(OR(ISBLANK($D12),ISBLANK($K12),ISBLANK($L12)),"",IF($L12="0–9 km",0,IF(LEFT($D12,18)="Long-term teaching",VLOOKUP($K12,Subsistence,2,0)*14+VLOOKUP($K12,Subsistence,3,0)*46+VLOOKUP($K12,Subsistence,4,0)*($F12-60),IF(LEFT($D12,18)="Short-term joint s",IF($F12&lt;15,Ceilings!$S$3*$F12,Ceilings!$S$3*14+Ceilings!$S$4*($F12-14)),IF($F12&lt;15,Ceilings!$S$6*$F12,Ceilings!$S$6*14+Ceilings!$S$7*($F12-14))))))</f>
        <v/>
      </c>
      <c r="O12" s="185" t="str">
        <f>IF(OR(ISBLANK(D12),ISBLANK(H12),ISBLANK(K12),ISBLANK(L12)),"",IF(L12="0–9 km",0,IF(I12&lt;15,Ceilings!$S$3*I12,Ceilings!$S$3*14+Ceilings!$S$4*(I12-14))))</f>
        <v/>
      </c>
      <c r="P12" s="183" t="str">
        <f t="shared" si="1"/>
        <v/>
      </c>
      <c r="Q12" s="436"/>
      <c r="R12" s="266" t="str">
        <f>IF(OR(ISBLANK($D12),ISBLANK($K12),ISBLANK(Q12)),"",Ceilings!$V$3*Q12)</f>
        <v/>
      </c>
      <c r="S12" s="72" t="str">
        <f t="shared" si="2"/>
        <v/>
      </c>
    </row>
    <row r="13" spans="1:258" ht="15.75" customHeight="1">
      <c r="A13" s="506"/>
      <c r="B13" s="51" t="str">
        <f>IF(ISBLANK(A13),"",VLOOKUP(A13,Management!$A$11:$C$25,2,0))</f>
        <v/>
      </c>
      <c r="C13" s="433"/>
      <c r="D13" s="421"/>
      <c r="E13" s="433"/>
      <c r="F13" s="434"/>
      <c r="G13" s="95" t="str">
        <f t="shared" si="3"/>
        <v/>
      </c>
      <c r="H13" s="435"/>
      <c r="I13" s="434"/>
      <c r="J13" s="95" t="str">
        <f t="shared" si="4"/>
        <v/>
      </c>
      <c r="K13" s="81"/>
      <c r="L13" s="362"/>
      <c r="M13" s="256" t="str">
        <f t="shared" si="0"/>
        <v/>
      </c>
      <c r="N13" s="184" t="str">
        <f>IF(OR(ISBLANK($D13),ISBLANK($K13),ISBLANK($L13)),"",IF($L13="0–9 km",0,IF(LEFT($D13,18)="Long-term teaching",VLOOKUP($K13,Subsistence,2,0)*14+VLOOKUP($K13,Subsistence,3,0)*46+VLOOKUP($K13,Subsistence,4,0)*($F13-60),IF(LEFT($D13,18)="Short-term joint s",IF($F13&lt;15,Ceilings!$S$3*$F13,Ceilings!$S$3*14+Ceilings!$S$4*($F13-14)),IF($F13&lt;15,Ceilings!$S$6*$F13,Ceilings!$S$6*14+Ceilings!$S$7*($F13-14))))))</f>
        <v/>
      </c>
      <c r="O13" s="185" t="str">
        <f>IF(OR(ISBLANK(D13),ISBLANK(H13),ISBLANK(K13),ISBLANK(L13)),"",IF(L13="0–9 km",0,IF(I13&lt;15,Ceilings!$S$3*I13,Ceilings!$S$3*14+Ceilings!$S$4*(I13-14))))</f>
        <v/>
      </c>
      <c r="P13" s="183" t="str">
        <f t="shared" si="1"/>
        <v/>
      </c>
      <c r="Q13" s="436"/>
      <c r="R13" s="266" t="str">
        <f>IF(OR(ISBLANK($D13),ISBLANK($K13),ISBLANK(Q13)),"",Ceilings!$V$3*Q13)</f>
        <v/>
      </c>
      <c r="S13" s="72" t="str">
        <f t="shared" si="2"/>
        <v/>
      </c>
    </row>
    <row r="14" spans="1:258" ht="15.75" customHeight="1">
      <c r="A14" s="506"/>
      <c r="B14" s="51" t="str">
        <f>IF(ISBLANK(A14),"",VLOOKUP(A14,Management!$A$11:$C$25,2,0))</f>
        <v/>
      </c>
      <c r="C14" s="433"/>
      <c r="D14" s="421"/>
      <c r="E14" s="433"/>
      <c r="F14" s="434"/>
      <c r="G14" s="95" t="str">
        <f t="shared" si="3"/>
        <v/>
      </c>
      <c r="H14" s="435"/>
      <c r="I14" s="434"/>
      <c r="J14" s="95" t="str">
        <f t="shared" si="4"/>
        <v/>
      </c>
      <c r="K14" s="81"/>
      <c r="L14" s="362"/>
      <c r="M14" s="256" t="str">
        <f t="shared" si="0"/>
        <v/>
      </c>
      <c r="N14" s="184" t="str">
        <f>IF(OR(ISBLANK($D14),ISBLANK($K14),ISBLANK($L14)),"",IF($L14="0–9 km",0,IF(LEFT($D14,18)="Long-term teaching",VLOOKUP($K14,Subsistence,2,0)*14+VLOOKUP($K14,Subsistence,3,0)*46+VLOOKUP($K14,Subsistence,4,0)*($F14-60),IF(LEFT($D14,18)="Short-term joint s",IF($F14&lt;15,Ceilings!$S$3*$F14,Ceilings!$S$3*14+Ceilings!$S$4*($F14-14)),IF($F14&lt;15,Ceilings!$S$6*$F14,Ceilings!$S$6*14+Ceilings!$S$7*($F14-14))))))</f>
        <v/>
      </c>
      <c r="O14" s="185" t="str">
        <f>IF(OR(ISBLANK(D14),ISBLANK(H14),ISBLANK(K14),ISBLANK(L14)),"",IF(L14="0–9 km",0,IF(I14&lt;15,Ceilings!$S$3*I14,Ceilings!$S$3*14+Ceilings!$S$4*(I14-14))))</f>
        <v/>
      </c>
      <c r="P14" s="183" t="str">
        <f t="shared" ref="P14:P77" si="5">IF(N14="","",$E14*N14+IF(O14="",0,$H14*O14))</f>
        <v/>
      </c>
      <c r="Q14" s="436"/>
      <c r="R14" s="266" t="str">
        <f>IF(OR(ISBLANK($D14),ISBLANK($K14),ISBLANK(Q14)),"",Ceilings!$V$3*Q14)</f>
        <v/>
      </c>
      <c r="S14" s="72" t="str">
        <f t="shared" si="2"/>
        <v/>
      </c>
    </row>
    <row r="15" spans="1:258" ht="15.75" customHeight="1">
      <c r="A15" s="506"/>
      <c r="B15" s="51" t="str">
        <f>IF(ISBLANK(A15),"",VLOOKUP(A15,Management!$A$11:$C$25,2,0))</f>
        <v/>
      </c>
      <c r="C15" s="433"/>
      <c r="D15" s="421"/>
      <c r="E15" s="433"/>
      <c r="F15" s="434"/>
      <c r="G15" s="95" t="str">
        <f t="shared" si="3"/>
        <v/>
      </c>
      <c r="H15" s="435"/>
      <c r="I15" s="434"/>
      <c r="J15" s="95" t="str">
        <f t="shared" si="4"/>
        <v/>
      </c>
      <c r="K15" s="81"/>
      <c r="L15" s="362"/>
      <c r="M15" s="256" t="str">
        <f t="shared" si="0"/>
        <v/>
      </c>
      <c r="N15" s="184" t="str">
        <f>IF(OR(ISBLANK($D15),ISBLANK($K15),ISBLANK($L15)),"",IF($L15="0–9 km",0,IF(LEFT($D15,18)="Long-term teaching",VLOOKUP($K15,Subsistence,2,0)*14+VLOOKUP($K15,Subsistence,3,0)*46+VLOOKUP($K15,Subsistence,4,0)*($F15-60),IF(LEFT($D15,18)="Short-term joint s",IF($F15&lt;15,Ceilings!$S$3*$F15,Ceilings!$S$3*14+Ceilings!$S$4*($F15-14)),IF($F15&lt;15,Ceilings!$S$6*$F15,Ceilings!$S$6*14+Ceilings!$S$7*($F15-14))))))</f>
        <v/>
      </c>
      <c r="O15" s="185" t="str">
        <f>IF(OR(ISBLANK(D15),ISBLANK(H15),ISBLANK(K15),ISBLANK(L15)),"",IF(L15="0–9 km",0,IF(I15&lt;15,Ceilings!$S$3*I15,Ceilings!$S$3*14+Ceilings!$S$4*(I15-14))))</f>
        <v/>
      </c>
      <c r="P15" s="183" t="str">
        <f t="shared" si="5"/>
        <v/>
      </c>
      <c r="Q15" s="436"/>
      <c r="R15" s="266" t="str">
        <f>IF(OR(ISBLANK($D15),ISBLANK($K15),ISBLANK(Q15)),"",Ceilings!$V$3*Q15)</f>
        <v/>
      </c>
      <c r="S15" s="72" t="str">
        <f t="shared" si="2"/>
        <v/>
      </c>
    </row>
    <row r="16" spans="1:258" ht="15.75" customHeight="1">
      <c r="A16" s="506"/>
      <c r="B16" s="51" t="str">
        <f>IF(ISBLANK(A16),"",VLOOKUP(A16,Management!$A$11:$C$25,2,0))</f>
        <v/>
      </c>
      <c r="C16" s="433"/>
      <c r="D16" s="421"/>
      <c r="E16" s="433"/>
      <c r="F16" s="434"/>
      <c r="G16" s="95" t="str">
        <f t="shared" si="3"/>
        <v/>
      </c>
      <c r="H16" s="435"/>
      <c r="I16" s="434"/>
      <c r="J16" s="95" t="str">
        <f t="shared" si="4"/>
        <v/>
      </c>
      <c r="K16" s="81"/>
      <c r="L16" s="362"/>
      <c r="M16" s="256" t="str">
        <f t="shared" si="0"/>
        <v/>
      </c>
      <c r="N16" s="184" t="str">
        <f>IF(OR(ISBLANK($D16),ISBLANK($K16),ISBLANK($L16)),"",IF($L16="0–9 km",0,IF(LEFT($D16,18)="Long-term teaching",VLOOKUP($K16,Subsistence,2,0)*14+VLOOKUP($K16,Subsistence,3,0)*46+VLOOKUP($K16,Subsistence,4,0)*($F16-60),IF(LEFT($D16,18)="Short-term joint s",IF($F16&lt;15,Ceilings!$S$3*$F16,Ceilings!$S$3*14+Ceilings!$S$4*($F16-14)),IF($F16&lt;15,Ceilings!$S$6*$F16,Ceilings!$S$6*14+Ceilings!$S$7*($F16-14))))))</f>
        <v/>
      </c>
      <c r="O16" s="185" t="str">
        <f>IF(OR(ISBLANK(D16),ISBLANK(H16),ISBLANK(K16),ISBLANK(L16)),"",IF(L16="0–9 km",0,IF(I16&lt;15,Ceilings!$S$3*I16,Ceilings!$S$3*14+Ceilings!$S$4*(I16-14))))</f>
        <v/>
      </c>
      <c r="P16" s="183" t="str">
        <f t="shared" si="5"/>
        <v/>
      </c>
      <c r="Q16" s="436"/>
      <c r="R16" s="266" t="str">
        <f>IF(OR(ISBLANK($D16),ISBLANK($K16),ISBLANK(Q16)),"",Ceilings!$V$3*Q16)</f>
        <v/>
      </c>
      <c r="S16" s="72" t="str">
        <f t="shared" si="2"/>
        <v/>
      </c>
    </row>
    <row r="17" spans="1:19" ht="15.75" customHeight="1">
      <c r="A17" s="506"/>
      <c r="B17" s="51" t="str">
        <f>IF(ISBLANK(A17),"",VLOOKUP(A17,Management!$A$11:$C$25,2,0))</f>
        <v/>
      </c>
      <c r="C17" s="433"/>
      <c r="D17" s="421"/>
      <c r="E17" s="433"/>
      <c r="F17" s="434"/>
      <c r="G17" s="95" t="str">
        <f t="shared" si="3"/>
        <v/>
      </c>
      <c r="H17" s="435"/>
      <c r="I17" s="434"/>
      <c r="J17" s="95" t="str">
        <f t="shared" si="4"/>
        <v/>
      </c>
      <c r="K17" s="81"/>
      <c r="L17" s="362"/>
      <c r="M17" s="256" t="str">
        <f t="shared" si="0"/>
        <v/>
      </c>
      <c r="N17" s="184" t="str">
        <f>IF(OR(ISBLANK($D17),ISBLANK($K17),ISBLANK($L17)),"",IF($L17="0–9 km",0,IF(LEFT($D17,18)="Long-term teaching",VLOOKUP($K17,Subsistence,2,0)*14+VLOOKUP($K17,Subsistence,3,0)*46+VLOOKUP($K17,Subsistence,4,0)*($F17-60),IF(LEFT($D17,18)="Short-term joint s",IF($F17&lt;15,Ceilings!$S$3*$F17,Ceilings!$S$3*14+Ceilings!$S$4*($F17-14)),IF($F17&lt;15,Ceilings!$S$6*$F17,Ceilings!$S$6*14+Ceilings!$S$7*($F17-14))))))</f>
        <v/>
      </c>
      <c r="O17" s="185" t="str">
        <f>IF(OR(ISBLANK(D17),ISBLANK(H17),ISBLANK(K17),ISBLANK(L17)),"",IF(L17="0–9 km",0,IF(I17&lt;15,Ceilings!$S$3*I17,Ceilings!$S$3*14+Ceilings!$S$4*(I17-14))))</f>
        <v/>
      </c>
      <c r="P17" s="183" t="str">
        <f t="shared" si="5"/>
        <v/>
      </c>
      <c r="Q17" s="436"/>
      <c r="R17" s="266" t="str">
        <f>IF(OR(ISBLANK($D17),ISBLANK($K17),ISBLANK(Q17)),"",Ceilings!$V$3*Q17)</f>
        <v/>
      </c>
      <c r="S17" s="72" t="str">
        <f t="shared" si="2"/>
        <v/>
      </c>
    </row>
    <row r="18" spans="1:19" ht="15.75" customHeight="1">
      <c r="A18" s="506"/>
      <c r="B18" s="51" t="str">
        <f>IF(ISBLANK(A18),"",VLOOKUP(A18,Management!$A$11:$C$25,2,0))</f>
        <v/>
      </c>
      <c r="C18" s="433"/>
      <c r="D18" s="421"/>
      <c r="E18" s="433"/>
      <c r="F18" s="434"/>
      <c r="G18" s="95" t="str">
        <f t="shared" si="3"/>
        <v/>
      </c>
      <c r="H18" s="435"/>
      <c r="I18" s="434"/>
      <c r="J18" s="95" t="str">
        <f t="shared" si="4"/>
        <v/>
      </c>
      <c r="K18" s="81"/>
      <c r="L18" s="362"/>
      <c r="M18" s="256" t="str">
        <f t="shared" si="0"/>
        <v/>
      </c>
      <c r="N18" s="184" t="str">
        <f>IF(OR(ISBLANK($D18),ISBLANK($K18),ISBLANK($L18)),"",IF($L18="0–9 km",0,IF(LEFT($D18,18)="Long-term teaching",VLOOKUP($K18,Subsistence,2,0)*14+VLOOKUP($K18,Subsistence,3,0)*46+VLOOKUP($K18,Subsistence,4,0)*($F18-60),IF(LEFT($D18,18)="Short-term joint s",IF($F18&lt;15,Ceilings!$S$3*$F18,Ceilings!$S$3*14+Ceilings!$S$4*($F18-14)),IF($F18&lt;15,Ceilings!$S$6*$F18,Ceilings!$S$6*14+Ceilings!$S$7*($F18-14))))))</f>
        <v/>
      </c>
      <c r="O18" s="185" t="str">
        <f>IF(OR(ISBLANK(D18),ISBLANK(H18),ISBLANK(K18),ISBLANK(L18)),"",IF(L18="0–9 km",0,IF(I18&lt;15,Ceilings!$S$3*I18,Ceilings!$S$3*14+Ceilings!$S$4*(I18-14))))</f>
        <v/>
      </c>
      <c r="P18" s="183" t="str">
        <f t="shared" si="5"/>
        <v/>
      </c>
      <c r="Q18" s="436"/>
      <c r="R18" s="266" t="str">
        <f>IF(OR(ISBLANK($D18),ISBLANK($K18),ISBLANK(Q18)),"",Ceilings!$V$3*Q18)</f>
        <v/>
      </c>
      <c r="S18" s="72" t="str">
        <f t="shared" si="2"/>
        <v/>
      </c>
    </row>
    <row r="19" spans="1:19" ht="15.75" customHeight="1">
      <c r="A19" s="506"/>
      <c r="B19" s="51" t="str">
        <f>IF(ISBLANK(A19),"",VLOOKUP(A19,Management!$A$11:$C$25,2,0))</f>
        <v/>
      </c>
      <c r="C19" s="433"/>
      <c r="D19" s="421"/>
      <c r="E19" s="433"/>
      <c r="F19" s="434"/>
      <c r="G19" s="95" t="str">
        <f t="shared" si="3"/>
        <v/>
      </c>
      <c r="H19" s="435"/>
      <c r="I19" s="434"/>
      <c r="J19" s="95" t="str">
        <f t="shared" si="4"/>
        <v/>
      </c>
      <c r="K19" s="81"/>
      <c r="L19" s="362"/>
      <c r="M19" s="256" t="str">
        <f t="shared" si="0"/>
        <v/>
      </c>
      <c r="N19" s="184" t="str">
        <f>IF(OR(ISBLANK($D19),ISBLANK($K19),ISBLANK($L19)),"",IF($L19="0–9 km",0,IF(LEFT($D19,18)="Long-term teaching",VLOOKUP($K19,Subsistence,2,0)*14+VLOOKUP($K19,Subsistence,3,0)*46+VLOOKUP($K19,Subsistence,4,0)*($F19-60),IF(LEFT($D19,18)="Short-term joint s",IF($F19&lt;15,Ceilings!$S$3*$F19,Ceilings!$S$3*14+Ceilings!$S$4*($F19-14)),IF($F19&lt;15,Ceilings!$S$6*$F19,Ceilings!$S$6*14+Ceilings!$S$7*($F19-14))))))</f>
        <v/>
      </c>
      <c r="O19" s="185" t="str">
        <f>IF(OR(ISBLANK(D19),ISBLANK(H19),ISBLANK(K19),ISBLANK(L19)),"",IF(L19="0–9 km",0,IF(I19&lt;15,Ceilings!$S$3*I19,Ceilings!$S$3*14+Ceilings!$S$4*(I19-14))))</f>
        <v/>
      </c>
      <c r="P19" s="183" t="str">
        <f t="shared" si="5"/>
        <v/>
      </c>
      <c r="Q19" s="436"/>
      <c r="R19" s="266" t="str">
        <f>IF(OR(ISBLANK($D19),ISBLANK($K19),ISBLANK(Q19)),"",Ceilings!$V$3*Q19)</f>
        <v/>
      </c>
      <c r="S19" s="72" t="str">
        <f t="shared" si="2"/>
        <v/>
      </c>
    </row>
    <row r="20" spans="1:19" ht="15.75" customHeight="1">
      <c r="A20" s="506"/>
      <c r="B20" s="51" t="str">
        <f>IF(ISBLANK(A20),"",VLOOKUP(A20,Management!$A$11:$C$25,2,0))</f>
        <v/>
      </c>
      <c r="C20" s="433"/>
      <c r="D20" s="421"/>
      <c r="E20" s="433"/>
      <c r="F20" s="434"/>
      <c r="G20" s="95" t="str">
        <f t="shared" si="3"/>
        <v/>
      </c>
      <c r="H20" s="435"/>
      <c r="I20" s="434"/>
      <c r="J20" s="95" t="str">
        <f t="shared" si="4"/>
        <v/>
      </c>
      <c r="K20" s="81"/>
      <c r="L20" s="362"/>
      <c r="M20" s="256" t="str">
        <f t="shared" si="0"/>
        <v/>
      </c>
      <c r="N20" s="184" t="str">
        <f>IF(OR(ISBLANK($D20),ISBLANK($K20),ISBLANK($L20)),"",IF($L20="0–9 km",0,IF(LEFT($D20,18)="Long-term teaching",VLOOKUP($K20,Subsistence,2,0)*14+VLOOKUP($K20,Subsistence,3,0)*46+VLOOKUP($K20,Subsistence,4,0)*($F20-60),IF(LEFT($D20,18)="Short-term joint s",IF($F20&lt;15,Ceilings!$S$3*$F20,Ceilings!$S$3*14+Ceilings!$S$4*($F20-14)),IF($F20&lt;15,Ceilings!$S$6*$F20,Ceilings!$S$6*14+Ceilings!$S$7*($F20-14))))))</f>
        <v/>
      </c>
      <c r="O20" s="185" t="str">
        <f>IF(OR(ISBLANK(D20),ISBLANK(H20),ISBLANK(K20),ISBLANK(L20)),"",IF(L20="0–9 km",0,IF(I20&lt;15,Ceilings!$S$3*I20,Ceilings!$S$3*14+Ceilings!$S$4*(I20-14))))</f>
        <v/>
      </c>
      <c r="P20" s="183" t="str">
        <f t="shared" si="5"/>
        <v/>
      </c>
      <c r="Q20" s="436"/>
      <c r="R20" s="266" t="str">
        <f>IF(OR(ISBLANK($D20),ISBLANK($K20),ISBLANK(Q20)),"",Ceilings!$V$3*Q20)</f>
        <v/>
      </c>
      <c r="S20" s="72" t="str">
        <f t="shared" si="2"/>
        <v/>
      </c>
    </row>
    <row r="21" spans="1:19" ht="15.75" customHeight="1">
      <c r="A21" s="506"/>
      <c r="B21" s="51" t="str">
        <f>IF(ISBLANK(A21),"",VLOOKUP(A21,Management!$A$11:$C$25,2,0))</f>
        <v/>
      </c>
      <c r="C21" s="433"/>
      <c r="D21" s="421"/>
      <c r="E21" s="433"/>
      <c r="F21" s="434"/>
      <c r="G21" s="95" t="str">
        <f t="shared" si="3"/>
        <v/>
      </c>
      <c r="H21" s="435"/>
      <c r="I21" s="434"/>
      <c r="J21" s="95" t="str">
        <f t="shared" si="4"/>
        <v/>
      </c>
      <c r="K21" s="81"/>
      <c r="L21" s="362"/>
      <c r="M21" s="256" t="str">
        <f t="shared" si="0"/>
        <v/>
      </c>
      <c r="N21" s="184" t="str">
        <f>IF(OR(ISBLANK($D21),ISBLANK($K21),ISBLANK($L21)),"",IF($L21="0–9 km",0,IF(LEFT($D21,18)="Long-term teaching",VLOOKUP($K21,Subsistence,2,0)*14+VLOOKUP($K21,Subsistence,3,0)*46+VLOOKUP($K21,Subsistence,4,0)*($F21-60),IF(LEFT($D21,18)="Short-term joint s",IF($F21&lt;15,Ceilings!$S$3*$F21,Ceilings!$S$3*14+Ceilings!$S$4*($F21-14)),IF($F21&lt;15,Ceilings!$S$6*$F21,Ceilings!$S$6*14+Ceilings!$S$7*($F21-14))))))</f>
        <v/>
      </c>
      <c r="O21" s="185" t="str">
        <f>IF(OR(ISBLANK(D21),ISBLANK(H21),ISBLANK(K21),ISBLANK(L21)),"",IF(L21="0–9 km",0,IF(I21&lt;15,Ceilings!$S$3*I21,Ceilings!$S$3*14+Ceilings!$S$4*(I21-14))))</f>
        <v/>
      </c>
      <c r="P21" s="183" t="str">
        <f t="shared" si="5"/>
        <v/>
      </c>
      <c r="Q21" s="436"/>
      <c r="R21" s="266" t="str">
        <f>IF(OR(ISBLANK($D21),ISBLANK($K21),ISBLANK(Q21)),"",Ceilings!$V$3*Q21)</f>
        <v/>
      </c>
      <c r="S21" s="72" t="str">
        <f t="shared" si="2"/>
        <v/>
      </c>
    </row>
    <row r="22" spans="1:19" ht="15.75" customHeight="1">
      <c r="A22" s="506"/>
      <c r="B22" s="51" t="str">
        <f>IF(ISBLANK(A22),"",VLOOKUP(A22,Management!$A$11:$C$25,2,0))</f>
        <v/>
      </c>
      <c r="C22" s="433"/>
      <c r="D22" s="421"/>
      <c r="E22" s="433"/>
      <c r="F22" s="434"/>
      <c r="G22" s="95" t="str">
        <f t="shared" si="3"/>
        <v/>
      </c>
      <c r="H22" s="435"/>
      <c r="I22" s="434"/>
      <c r="J22" s="95" t="str">
        <f t="shared" si="4"/>
        <v/>
      </c>
      <c r="K22" s="81"/>
      <c r="L22" s="362"/>
      <c r="M22" s="256" t="str">
        <f t="shared" si="0"/>
        <v/>
      </c>
      <c r="N22" s="184" t="str">
        <f>IF(OR(ISBLANK($D22),ISBLANK($K22),ISBLANK($L22)),"",IF($L22="0–9 km",0,IF(LEFT($D22,18)="Long-term teaching",VLOOKUP($K22,Subsistence,2,0)*14+VLOOKUP($K22,Subsistence,3,0)*46+VLOOKUP($K22,Subsistence,4,0)*($F22-60),IF(LEFT($D22,18)="Short-term joint s",IF($F22&lt;15,Ceilings!$S$3*$F22,Ceilings!$S$3*14+Ceilings!$S$4*($F22-14)),IF($F22&lt;15,Ceilings!$S$6*$F22,Ceilings!$S$6*14+Ceilings!$S$7*($F22-14))))))</f>
        <v/>
      </c>
      <c r="O22" s="185" t="str">
        <f>IF(OR(ISBLANK(D22),ISBLANK(H22),ISBLANK(K22),ISBLANK(L22)),"",IF(L22="0–9 km",0,IF(I22&lt;15,Ceilings!$S$3*I22,Ceilings!$S$3*14+Ceilings!$S$4*(I22-14))))</f>
        <v/>
      </c>
      <c r="P22" s="183" t="str">
        <f t="shared" si="5"/>
        <v/>
      </c>
      <c r="Q22" s="436"/>
      <c r="R22" s="266" t="str">
        <f>IF(OR(ISBLANK($D22),ISBLANK($K22),ISBLANK(Q22)),"",Ceilings!$V$3*Q22)</f>
        <v/>
      </c>
      <c r="S22" s="72" t="str">
        <f t="shared" si="2"/>
        <v/>
      </c>
    </row>
    <row r="23" spans="1:19" ht="15.75" customHeight="1">
      <c r="A23" s="506"/>
      <c r="B23" s="51" t="str">
        <f>IF(ISBLANK(A23),"",VLOOKUP(A23,Management!$A$11:$C$25,2,0))</f>
        <v/>
      </c>
      <c r="C23" s="433"/>
      <c r="D23" s="421"/>
      <c r="E23" s="433"/>
      <c r="F23" s="434"/>
      <c r="G23" s="95" t="str">
        <f t="shared" si="3"/>
        <v/>
      </c>
      <c r="H23" s="435"/>
      <c r="I23" s="434"/>
      <c r="J23" s="95" t="str">
        <f t="shared" si="4"/>
        <v/>
      </c>
      <c r="K23" s="81"/>
      <c r="L23" s="362"/>
      <c r="M23" s="256" t="str">
        <f t="shared" si="0"/>
        <v/>
      </c>
      <c r="N23" s="184" t="str">
        <f>IF(OR(ISBLANK($D23),ISBLANK($K23),ISBLANK($L23)),"",IF($L23="0–9 km",0,IF(LEFT($D23,18)="Long-term teaching",VLOOKUP($K23,Subsistence,2,0)*14+VLOOKUP($K23,Subsistence,3,0)*46+VLOOKUP($K23,Subsistence,4,0)*($F23-60),IF(LEFT($D23,18)="Short-term joint s",IF($F23&lt;15,Ceilings!$S$3*$F23,Ceilings!$S$3*14+Ceilings!$S$4*($F23-14)),IF($F23&lt;15,Ceilings!$S$6*$F23,Ceilings!$S$6*14+Ceilings!$S$7*($F23-14))))))</f>
        <v/>
      </c>
      <c r="O23" s="185" t="str">
        <f>IF(OR(ISBLANK(D23),ISBLANK(H23),ISBLANK(K23),ISBLANK(L23)),"",IF(L23="0–9 km",0,IF(I23&lt;15,Ceilings!$S$3*I23,Ceilings!$S$3*14+Ceilings!$S$4*(I23-14))))</f>
        <v/>
      </c>
      <c r="P23" s="183" t="str">
        <f t="shared" si="5"/>
        <v/>
      </c>
      <c r="Q23" s="436"/>
      <c r="R23" s="266" t="str">
        <f>IF(OR(ISBLANK($D23),ISBLANK($K23),ISBLANK(Q23)),"",Ceilings!$V$3*Q23)</f>
        <v/>
      </c>
      <c r="S23" s="72" t="str">
        <f t="shared" si="2"/>
        <v/>
      </c>
    </row>
    <row r="24" spans="1:19" ht="15.75" customHeight="1">
      <c r="A24" s="506"/>
      <c r="B24" s="51" t="str">
        <f>IF(ISBLANK(A24),"",VLOOKUP(A24,Management!$A$11:$C$25,2,0))</f>
        <v/>
      </c>
      <c r="C24" s="433"/>
      <c r="D24" s="421"/>
      <c r="E24" s="433"/>
      <c r="F24" s="434"/>
      <c r="G24" s="95" t="str">
        <f t="shared" si="3"/>
        <v/>
      </c>
      <c r="H24" s="435"/>
      <c r="I24" s="434"/>
      <c r="J24" s="95" t="str">
        <f t="shared" si="4"/>
        <v/>
      </c>
      <c r="K24" s="81"/>
      <c r="L24" s="362"/>
      <c r="M24" s="256" t="str">
        <f t="shared" si="0"/>
        <v/>
      </c>
      <c r="N24" s="184" t="str">
        <f>IF(OR(ISBLANK($D24),ISBLANK($K24),ISBLANK($L24)),"",IF($L24="0–9 km",0,IF(LEFT($D24,18)="Long-term teaching",VLOOKUP($K24,Subsistence,2,0)*14+VLOOKUP($K24,Subsistence,3,0)*46+VLOOKUP($K24,Subsistence,4,0)*($F24-60),IF(LEFT($D24,18)="Short-term joint s",IF($F24&lt;15,Ceilings!$S$3*$F24,Ceilings!$S$3*14+Ceilings!$S$4*($F24-14)),IF($F24&lt;15,Ceilings!$S$6*$F24,Ceilings!$S$6*14+Ceilings!$S$7*($F24-14))))))</f>
        <v/>
      </c>
      <c r="O24" s="185" t="str">
        <f>IF(OR(ISBLANK(D24),ISBLANK(H24),ISBLANK(K24),ISBLANK(L24)),"",IF(L24="0–9 km",0,IF(I24&lt;15,Ceilings!$S$3*I24,Ceilings!$S$3*14+Ceilings!$S$4*(I24-14))))</f>
        <v/>
      </c>
      <c r="P24" s="183" t="str">
        <f t="shared" si="5"/>
        <v/>
      </c>
      <c r="Q24" s="436"/>
      <c r="R24" s="266" t="str">
        <f>IF(OR(ISBLANK($D24),ISBLANK($K24),ISBLANK(Q24)),"",Ceilings!$V$3*Q24)</f>
        <v/>
      </c>
      <c r="S24" s="72" t="str">
        <f t="shared" si="2"/>
        <v/>
      </c>
    </row>
    <row r="25" spans="1:19" ht="15.75" customHeight="1">
      <c r="A25" s="506"/>
      <c r="B25" s="51" t="str">
        <f>IF(ISBLANK(A25),"",VLOOKUP(A25,Management!$A$11:$C$25,2,0))</f>
        <v/>
      </c>
      <c r="C25" s="433"/>
      <c r="D25" s="421"/>
      <c r="E25" s="433"/>
      <c r="F25" s="434"/>
      <c r="G25" s="95" t="str">
        <f t="shared" si="3"/>
        <v/>
      </c>
      <c r="H25" s="435"/>
      <c r="I25" s="434"/>
      <c r="J25" s="95" t="str">
        <f t="shared" si="4"/>
        <v/>
      </c>
      <c r="K25" s="81"/>
      <c r="L25" s="362"/>
      <c r="M25" s="256" t="str">
        <f t="shared" si="0"/>
        <v/>
      </c>
      <c r="N25" s="184" t="str">
        <f>IF(OR(ISBLANK($D25),ISBLANK($K25),ISBLANK($L25)),"",IF($L25="0–9 km",0,IF(LEFT($D25,18)="Long-term teaching",VLOOKUP($K25,Subsistence,2,0)*14+VLOOKUP($K25,Subsistence,3,0)*46+VLOOKUP($K25,Subsistence,4,0)*($F25-60),IF(LEFT($D25,18)="Short-term joint s",IF($F25&lt;15,Ceilings!$S$3*$F25,Ceilings!$S$3*14+Ceilings!$S$4*($F25-14)),IF($F25&lt;15,Ceilings!$S$6*$F25,Ceilings!$S$6*14+Ceilings!$S$7*($F25-14))))))</f>
        <v/>
      </c>
      <c r="O25" s="185" t="str">
        <f>IF(OR(ISBLANK(D25),ISBLANK(H25),ISBLANK(K25),ISBLANK(L25)),"",IF(L25="0–9 km",0,IF(I25&lt;15,Ceilings!$S$3*I25,Ceilings!$S$3*14+Ceilings!$S$4*(I25-14))))</f>
        <v/>
      </c>
      <c r="P25" s="183" t="str">
        <f t="shared" si="5"/>
        <v/>
      </c>
      <c r="Q25" s="436"/>
      <c r="R25" s="266" t="str">
        <f>IF(OR(ISBLANK($D25),ISBLANK($K25),ISBLANK(Q25)),"",Ceilings!$V$3*Q25)</f>
        <v/>
      </c>
      <c r="S25" s="72" t="str">
        <f t="shared" si="2"/>
        <v/>
      </c>
    </row>
    <row r="26" spans="1:19" ht="15.75" customHeight="1">
      <c r="A26" s="506"/>
      <c r="B26" s="51" t="str">
        <f>IF(ISBLANK(A26),"",VLOOKUP(A26,Management!$A$11:$C$25,2,0))</f>
        <v/>
      </c>
      <c r="C26" s="433"/>
      <c r="D26" s="421"/>
      <c r="E26" s="433"/>
      <c r="F26" s="434"/>
      <c r="G26" s="95" t="str">
        <f t="shared" si="3"/>
        <v/>
      </c>
      <c r="H26" s="435"/>
      <c r="I26" s="434"/>
      <c r="J26" s="95" t="str">
        <f t="shared" si="4"/>
        <v/>
      </c>
      <c r="K26" s="81"/>
      <c r="L26" s="362"/>
      <c r="M26" s="256" t="str">
        <f t="shared" si="0"/>
        <v/>
      </c>
      <c r="N26" s="184" t="str">
        <f>IF(OR(ISBLANK($D26),ISBLANK($K26),ISBLANK($L26)),"",IF($L26="0–9 km",0,IF(LEFT($D26,18)="Long-term teaching",VLOOKUP($K26,Subsistence,2,0)*14+VLOOKUP($K26,Subsistence,3,0)*46+VLOOKUP($K26,Subsistence,4,0)*($F26-60),IF(LEFT($D26,18)="Short-term joint s",IF($F26&lt;15,Ceilings!$S$3*$F26,Ceilings!$S$3*14+Ceilings!$S$4*($F26-14)),IF($F26&lt;15,Ceilings!$S$6*$F26,Ceilings!$S$6*14+Ceilings!$S$7*($F26-14))))))</f>
        <v/>
      </c>
      <c r="O26" s="185" t="str">
        <f>IF(OR(ISBLANK(D26),ISBLANK(H26),ISBLANK(K26),ISBLANK(L26)),"",IF(L26="0–9 km",0,IF(I26&lt;15,Ceilings!$S$3*I26,Ceilings!$S$3*14+Ceilings!$S$4*(I26-14))))</f>
        <v/>
      </c>
      <c r="P26" s="183" t="str">
        <f t="shared" si="5"/>
        <v/>
      </c>
      <c r="Q26" s="436"/>
      <c r="R26" s="266" t="str">
        <f>IF(OR(ISBLANK($D26),ISBLANK($K26),ISBLANK(Q26)),"",Ceilings!$V$3*Q26)</f>
        <v/>
      </c>
      <c r="S26" s="72" t="str">
        <f t="shared" si="2"/>
        <v/>
      </c>
    </row>
    <row r="27" spans="1:19" ht="15.75" customHeight="1">
      <c r="A27" s="506"/>
      <c r="B27" s="51" t="str">
        <f>IF(ISBLANK(A27),"",VLOOKUP(A27,Management!$A$11:$C$25,2,0))</f>
        <v/>
      </c>
      <c r="C27" s="433"/>
      <c r="D27" s="421"/>
      <c r="E27" s="433"/>
      <c r="F27" s="434"/>
      <c r="G27" s="95" t="str">
        <f t="shared" si="3"/>
        <v/>
      </c>
      <c r="H27" s="435"/>
      <c r="I27" s="434"/>
      <c r="J27" s="95" t="str">
        <f t="shared" si="4"/>
        <v/>
      </c>
      <c r="K27" s="81"/>
      <c r="L27" s="362"/>
      <c r="M27" s="256" t="str">
        <f t="shared" si="0"/>
        <v/>
      </c>
      <c r="N27" s="184" t="str">
        <f>IF(OR(ISBLANK($D27),ISBLANK($K27),ISBLANK($L27)),"",IF($L27="0–9 km",0,IF(LEFT($D27,18)="Long-term teaching",VLOOKUP($K27,Subsistence,2,0)*14+VLOOKUP($K27,Subsistence,3,0)*46+VLOOKUP($K27,Subsistence,4,0)*($F27-60),IF(LEFT($D27,18)="Short-term joint s",IF($F27&lt;15,Ceilings!$S$3*$F27,Ceilings!$S$3*14+Ceilings!$S$4*($F27-14)),IF($F27&lt;15,Ceilings!$S$6*$F27,Ceilings!$S$6*14+Ceilings!$S$7*($F27-14))))))</f>
        <v/>
      </c>
      <c r="O27" s="185" t="str">
        <f>IF(OR(ISBLANK(D27),ISBLANK(H27),ISBLANK(K27),ISBLANK(L27)),"",IF(L27="0–9 km",0,IF(I27&lt;15,Ceilings!$S$3*I27,Ceilings!$S$3*14+Ceilings!$S$4*(I27-14))))</f>
        <v/>
      </c>
      <c r="P27" s="183" t="str">
        <f t="shared" si="5"/>
        <v/>
      </c>
      <c r="Q27" s="436"/>
      <c r="R27" s="266" t="str">
        <f>IF(OR(ISBLANK($D27),ISBLANK($K27),ISBLANK(Q27)),"",Ceilings!$V$3*Q27)</f>
        <v/>
      </c>
      <c r="S27" s="72" t="str">
        <f t="shared" si="2"/>
        <v/>
      </c>
    </row>
    <row r="28" spans="1:19" ht="15.75" customHeight="1">
      <c r="A28" s="506"/>
      <c r="B28" s="51" t="str">
        <f>IF(ISBLANK(A28),"",VLOOKUP(A28,Management!$A$11:$C$25,2,0))</f>
        <v/>
      </c>
      <c r="C28" s="433"/>
      <c r="D28" s="421"/>
      <c r="E28" s="433"/>
      <c r="F28" s="434"/>
      <c r="G28" s="95" t="str">
        <f t="shared" si="3"/>
        <v/>
      </c>
      <c r="H28" s="435"/>
      <c r="I28" s="434"/>
      <c r="J28" s="95" t="str">
        <f t="shared" si="4"/>
        <v/>
      </c>
      <c r="K28" s="81"/>
      <c r="L28" s="362"/>
      <c r="M28" s="256" t="str">
        <f t="shared" si="0"/>
        <v/>
      </c>
      <c r="N28" s="184" t="str">
        <f>IF(OR(ISBLANK($D28),ISBLANK($K28),ISBLANK($L28)),"",IF($L28="0–9 km",0,IF(LEFT($D28,18)="Long-term teaching",VLOOKUP($K28,Subsistence,2,0)*14+VLOOKUP($K28,Subsistence,3,0)*46+VLOOKUP($K28,Subsistence,4,0)*($F28-60),IF(LEFT($D28,18)="Short-term joint s",IF($F28&lt;15,Ceilings!$S$3*$F28,Ceilings!$S$3*14+Ceilings!$S$4*($F28-14)),IF($F28&lt;15,Ceilings!$S$6*$F28,Ceilings!$S$6*14+Ceilings!$S$7*($F28-14))))))</f>
        <v/>
      </c>
      <c r="O28" s="185" t="str">
        <f>IF(OR(ISBLANK(D28),ISBLANK(H28),ISBLANK(K28),ISBLANK(L28)),"",IF(L28="0–9 km",0,IF(I28&lt;15,Ceilings!$S$3*I28,Ceilings!$S$3*14+Ceilings!$S$4*(I28-14))))</f>
        <v/>
      </c>
      <c r="P28" s="183" t="str">
        <f t="shared" si="5"/>
        <v/>
      </c>
      <c r="Q28" s="436"/>
      <c r="R28" s="266" t="str">
        <f>IF(OR(ISBLANK($D28),ISBLANK($K28),ISBLANK(Q28)),"",Ceilings!$V$3*Q28)</f>
        <v/>
      </c>
      <c r="S28" s="72" t="str">
        <f t="shared" si="2"/>
        <v/>
      </c>
    </row>
    <row r="29" spans="1:19" ht="15.75" customHeight="1">
      <c r="A29" s="506"/>
      <c r="B29" s="51" t="str">
        <f>IF(ISBLANK(A29),"",VLOOKUP(A29,Management!$A$11:$C$25,2,0))</f>
        <v/>
      </c>
      <c r="C29" s="433"/>
      <c r="D29" s="421"/>
      <c r="E29" s="433"/>
      <c r="F29" s="434"/>
      <c r="G29" s="95" t="str">
        <f t="shared" si="3"/>
        <v/>
      </c>
      <c r="H29" s="435"/>
      <c r="I29" s="434"/>
      <c r="J29" s="95" t="str">
        <f t="shared" si="4"/>
        <v/>
      </c>
      <c r="K29" s="81"/>
      <c r="L29" s="362"/>
      <c r="M29" s="256" t="str">
        <f t="shared" si="0"/>
        <v/>
      </c>
      <c r="N29" s="184" t="str">
        <f>IF(OR(ISBLANK($D29),ISBLANK($K29),ISBLANK($L29)),"",IF($L29="0–9 km",0,IF(LEFT($D29,18)="Long-term teaching",VLOOKUP($K29,Subsistence,2,0)*14+VLOOKUP($K29,Subsistence,3,0)*46+VLOOKUP($K29,Subsistence,4,0)*($F29-60),IF(LEFT($D29,18)="Short-term joint s",IF($F29&lt;15,Ceilings!$S$3*$F29,Ceilings!$S$3*14+Ceilings!$S$4*($F29-14)),IF($F29&lt;15,Ceilings!$S$6*$F29,Ceilings!$S$6*14+Ceilings!$S$7*($F29-14))))))</f>
        <v/>
      </c>
      <c r="O29" s="185" t="str">
        <f>IF(OR(ISBLANK(D29),ISBLANK(H29),ISBLANK(K29),ISBLANK(L29)),"",IF(L29="0–9 km",0,IF(I29&lt;15,Ceilings!$S$3*I29,Ceilings!$S$3*14+Ceilings!$S$4*(I29-14))))</f>
        <v/>
      </c>
      <c r="P29" s="183" t="str">
        <f t="shared" si="5"/>
        <v/>
      </c>
      <c r="Q29" s="436"/>
      <c r="R29" s="266" t="str">
        <f>IF(OR(ISBLANK($D29),ISBLANK($K29),ISBLANK(Q29)),"",Ceilings!$V$3*Q29)</f>
        <v/>
      </c>
      <c r="S29" s="72" t="str">
        <f t="shared" si="2"/>
        <v/>
      </c>
    </row>
    <row r="30" spans="1:19" ht="15.75" customHeight="1">
      <c r="A30" s="506"/>
      <c r="B30" s="51" t="str">
        <f>IF(ISBLANK(A30),"",VLOOKUP(A30,Management!$A$11:$C$25,2,0))</f>
        <v/>
      </c>
      <c r="C30" s="433"/>
      <c r="D30" s="421"/>
      <c r="E30" s="433"/>
      <c r="F30" s="434"/>
      <c r="G30" s="95" t="str">
        <f t="shared" si="3"/>
        <v/>
      </c>
      <c r="H30" s="435"/>
      <c r="I30" s="434"/>
      <c r="J30" s="95" t="str">
        <f t="shared" si="4"/>
        <v/>
      </c>
      <c r="K30" s="81"/>
      <c r="L30" s="362"/>
      <c r="M30" s="256" t="str">
        <f t="shared" si="0"/>
        <v/>
      </c>
      <c r="N30" s="184" t="str">
        <f>IF(OR(ISBLANK($D30),ISBLANK($K30),ISBLANK($L30)),"",IF($L30="0–9 km",0,IF(LEFT($D30,18)="Long-term teaching",VLOOKUP($K30,Subsistence,2,0)*14+VLOOKUP($K30,Subsistence,3,0)*46+VLOOKUP($K30,Subsistence,4,0)*($F30-60),IF(LEFT($D30,18)="Short-term joint s",IF($F30&lt;15,Ceilings!$S$3*$F30,Ceilings!$S$3*14+Ceilings!$S$4*($F30-14)),IF($F30&lt;15,Ceilings!$S$6*$F30,Ceilings!$S$6*14+Ceilings!$S$7*($F30-14))))))</f>
        <v/>
      </c>
      <c r="O30" s="185" t="str">
        <f>IF(OR(ISBLANK(D30),ISBLANK(H30),ISBLANK(K30),ISBLANK(L30)),"",IF(L30="0–9 km",0,IF(I30&lt;15,Ceilings!$S$3*I30,Ceilings!$S$3*14+Ceilings!$S$4*(I30-14))))</f>
        <v/>
      </c>
      <c r="P30" s="183" t="str">
        <f t="shared" si="5"/>
        <v/>
      </c>
      <c r="Q30" s="436"/>
      <c r="R30" s="266" t="str">
        <f>IF(OR(ISBLANK($D30),ISBLANK($K30),ISBLANK(Q30)),"",Ceilings!$V$3*Q30)</f>
        <v/>
      </c>
      <c r="S30" s="72" t="str">
        <f t="shared" si="2"/>
        <v/>
      </c>
    </row>
    <row r="31" spans="1:19" ht="15.75" customHeight="1">
      <c r="A31" s="506"/>
      <c r="B31" s="51" t="str">
        <f>IF(ISBLANK(A31),"",VLOOKUP(A31,Management!$A$11:$C$25,2,0))</f>
        <v/>
      </c>
      <c r="C31" s="433"/>
      <c r="D31" s="421"/>
      <c r="E31" s="433"/>
      <c r="F31" s="434"/>
      <c r="G31" s="95" t="str">
        <f t="shared" si="3"/>
        <v/>
      </c>
      <c r="H31" s="435"/>
      <c r="I31" s="434"/>
      <c r="J31" s="95" t="str">
        <f t="shared" si="4"/>
        <v/>
      </c>
      <c r="K31" s="81"/>
      <c r="L31" s="362"/>
      <c r="M31" s="256" t="str">
        <f t="shared" si="0"/>
        <v/>
      </c>
      <c r="N31" s="184" t="str">
        <f>IF(OR(ISBLANK($D31),ISBLANK($K31),ISBLANK($L31)),"",IF($L31="0–9 km",0,IF(LEFT($D31,18)="Long-term teaching",VLOOKUP($K31,Subsistence,2,0)*14+VLOOKUP($K31,Subsistence,3,0)*46+VLOOKUP($K31,Subsistence,4,0)*($F31-60),IF(LEFT($D31,18)="Short-term joint s",IF($F31&lt;15,Ceilings!$S$3*$F31,Ceilings!$S$3*14+Ceilings!$S$4*($F31-14)),IF($F31&lt;15,Ceilings!$S$6*$F31,Ceilings!$S$6*14+Ceilings!$S$7*($F31-14))))))</f>
        <v/>
      </c>
      <c r="O31" s="185" t="str">
        <f>IF(OR(ISBLANK(D31),ISBLANK(H31),ISBLANK(K31),ISBLANK(L31)),"",IF(L31="0–9 km",0,IF(I31&lt;15,Ceilings!$S$3*I31,Ceilings!$S$3*14+Ceilings!$S$4*(I31-14))))</f>
        <v/>
      </c>
      <c r="P31" s="183" t="str">
        <f t="shared" si="5"/>
        <v/>
      </c>
      <c r="Q31" s="436"/>
      <c r="R31" s="266" t="str">
        <f>IF(OR(ISBLANK($D31),ISBLANK($K31),ISBLANK(Q31)),"",Ceilings!$V$3*Q31)</f>
        <v/>
      </c>
      <c r="S31" s="72" t="str">
        <f t="shared" si="2"/>
        <v/>
      </c>
    </row>
    <row r="32" spans="1:19" ht="15.75" customHeight="1">
      <c r="A32" s="506"/>
      <c r="B32" s="51" t="str">
        <f>IF(ISBLANK(A32),"",VLOOKUP(A32,Management!$A$11:$C$25,2,0))</f>
        <v/>
      </c>
      <c r="C32" s="433"/>
      <c r="D32" s="421"/>
      <c r="E32" s="433"/>
      <c r="F32" s="434"/>
      <c r="G32" s="95" t="str">
        <f t="shared" si="3"/>
        <v/>
      </c>
      <c r="H32" s="435"/>
      <c r="I32" s="434"/>
      <c r="J32" s="95" t="str">
        <f t="shared" si="4"/>
        <v/>
      </c>
      <c r="K32" s="81"/>
      <c r="L32" s="362"/>
      <c r="M32" s="256" t="str">
        <f t="shared" si="0"/>
        <v/>
      </c>
      <c r="N32" s="184" t="str">
        <f>IF(OR(ISBLANK($D32),ISBLANK($K32),ISBLANK($L32)),"",IF($L32="0–9 km",0,IF(LEFT($D32,18)="Long-term teaching",VLOOKUP($K32,Subsistence,2,0)*14+VLOOKUP($K32,Subsistence,3,0)*46+VLOOKUP($K32,Subsistence,4,0)*($F32-60),IF(LEFT($D32,18)="Short-term joint s",IF($F32&lt;15,Ceilings!$S$3*$F32,Ceilings!$S$3*14+Ceilings!$S$4*($F32-14)),IF($F32&lt;15,Ceilings!$S$6*$F32,Ceilings!$S$6*14+Ceilings!$S$7*($F32-14))))))</f>
        <v/>
      </c>
      <c r="O32" s="185" t="str">
        <f>IF(OR(ISBLANK(D32),ISBLANK(H32),ISBLANK(K32),ISBLANK(L32)),"",IF(L32="0–9 km",0,IF(I32&lt;15,Ceilings!$S$3*I32,Ceilings!$S$3*14+Ceilings!$S$4*(I32-14))))</f>
        <v/>
      </c>
      <c r="P32" s="183" t="str">
        <f t="shared" si="5"/>
        <v/>
      </c>
      <c r="Q32" s="436"/>
      <c r="R32" s="266" t="str">
        <f>IF(OR(ISBLANK($D32),ISBLANK($K32),ISBLANK(Q32)),"",Ceilings!$V$3*Q32)</f>
        <v/>
      </c>
      <c r="S32" s="72" t="str">
        <f t="shared" si="2"/>
        <v/>
      </c>
    </row>
    <row r="33" spans="1:19" ht="15.75" customHeight="1">
      <c r="A33" s="506"/>
      <c r="B33" s="51" t="str">
        <f>IF(ISBLANK(A33),"",VLOOKUP(A33,Management!$A$11:$C$25,2,0))</f>
        <v/>
      </c>
      <c r="C33" s="433"/>
      <c r="D33" s="421"/>
      <c r="E33" s="433"/>
      <c r="F33" s="434"/>
      <c r="G33" s="95" t="str">
        <f t="shared" si="3"/>
        <v/>
      </c>
      <c r="H33" s="435"/>
      <c r="I33" s="434"/>
      <c r="J33" s="95" t="str">
        <f t="shared" si="4"/>
        <v/>
      </c>
      <c r="K33" s="81"/>
      <c r="L33" s="362"/>
      <c r="M33" s="256" t="str">
        <f t="shared" si="0"/>
        <v/>
      </c>
      <c r="N33" s="184" t="str">
        <f>IF(OR(ISBLANK($D33),ISBLANK($K33),ISBLANK($L33)),"",IF($L33="0–9 km",0,IF(LEFT($D33,18)="Long-term teaching",VLOOKUP($K33,Subsistence,2,0)*14+VLOOKUP($K33,Subsistence,3,0)*46+VLOOKUP($K33,Subsistence,4,0)*($F33-60),IF(LEFT($D33,18)="Short-term joint s",IF($F33&lt;15,Ceilings!$S$3*$F33,Ceilings!$S$3*14+Ceilings!$S$4*($F33-14)),IF($F33&lt;15,Ceilings!$S$6*$F33,Ceilings!$S$6*14+Ceilings!$S$7*($F33-14))))))</f>
        <v/>
      </c>
      <c r="O33" s="185" t="str">
        <f>IF(OR(ISBLANK(D33),ISBLANK(H33),ISBLANK(K33),ISBLANK(L33)),"",IF(L33="0–9 km",0,IF(I33&lt;15,Ceilings!$S$3*I33,Ceilings!$S$3*14+Ceilings!$S$4*(I33-14))))</f>
        <v/>
      </c>
      <c r="P33" s="183" t="str">
        <f t="shared" si="5"/>
        <v/>
      </c>
      <c r="Q33" s="436"/>
      <c r="R33" s="266" t="str">
        <f>IF(OR(ISBLANK($D33),ISBLANK($K33),ISBLANK(Q33)),"",Ceilings!$V$3*Q33)</f>
        <v/>
      </c>
      <c r="S33" s="72" t="str">
        <f t="shared" si="2"/>
        <v/>
      </c>
    </row>
    <row r="34" spans="1:19" ht="15.75" customHeight="1">
      <c r="A34" s="506"/>
      <c r="B34" s="51" t="str">
        <f>IF(ISBLANK(A34),"",VLOOKUP(A34,Management!$A$11:$C$25,2,0))</f>
        <v/>
      </c>
      <c r="C34" s="433"/>
      <c r="D34" s="421"/>
      <c r="E34" s="433"/>
      <c r="F34" s="434"/>
      <c r="G34" s="95" t="str">
        <f t="shared" si="3"/>
        <v/>
      </c>
      <c r="H34" s="435"/>
      <c r="I34" s="434"/>
      <c r="J34" s="95" t="str">
        <f t="shared" si="4"/>
        <v/>
      </c>
      <c r="K34" s="81"/>
      <c r="L34" s="362"/>
      <c r="M34" s="256" t="str">
        <f t="shared" si="0"/>
        <v/>
      </c>
      <c r="N34" s="184" t="str">
        <f>IF(OR(ISBLANK($D34),ISBLANK($K34),ISBLANK($L34)),"",IF($L34="0–9 km",0,IF(LEFT($D34,18)="Long-term teaching",VLOOKUP($K34,Subsistence,2,0)*14+VLOOKUP($K34,Subsistence,3,0)*46+VLOOKUP($K34,Subsistence,4,0)*($F34-60),IF(LEFT($D34,18)="Short-term joint s",IF($F34&lt;15,Ceilings!$S$3*$F34,Ceilings!$S$3*14+Ceilings!$S$4*($F34-14)),IF($F34&lt;15,Ceilings!$S$6*$F34,Ceilings!$S$6*14+Ceilings!$S$7*($F34-14))))))</f>
        <v/>
      </c>
      <c r="O34" s="185" t="str">
        <f>IF(OR(ISBLANK(D34),ISBLANK(H34),ISBLANK(K34),ISBLANK(L34)),"",IF(L34="0–9 km",0,IF(I34&lt;15,Ceilings!$S$3*I34,Ceilings!$S$3*14+Ceilings!$S$4*(I34-14))))</f>
        <v/>
      </c>
      <c r="P34" s="183" t="str">
        <f t="shared" si="5"/>
        <v/>
      </c>
      <c r="Q34" s="436"/>
      <c r="R34" s="266" t="str">
        <f>IF(OR(ISBLANK($D34),ISBLANK($K34),ISBLANK(Q34)),"",Ceilings!$V$3*Q34)</f>
        <v/>
      </c>
      <c r="S34" s="72" t="str">
        <f t="shared" si="2"/>
        <v/>
      </c>
    </row>
    <row r="35" spans="1:19" ht="15.75" customHeight="1">
      <c r="A35" s="506"/>
      <c r="B35" s="51" t="str">
        <f>IF(ISBLANK(A35),"",VLOOKUP(A35,Management!$A$11:$C$25,2,0))</f>
        <v/>
      </c>
      <c r="C35" s="433"/>
      <c r="D35" s="421"/>
      <c r="E35" s="433"/>
      <c r="F35" s="434"/>
      <c r="G35" s="95" t="str">
        <f t="shared" si="3"/>
        <v/>
      </c>
      <c r="H35" s="435"/>
      <c r="I35" s="434"/>
      <c r="J35" s="95" t="str">
        <f t="shared" si="4"/>
        <v/>
      </c>
      <c r="K35" s="81"/>
      <c r="L35" s="362"/>
      <c r="M35" s="256" t="str">
        <f t="shared" si="0"/>
        <v/>
      </c>
      <c r="N35" s="184" t="str">
        <f>IF(OR(ISBLANK($D35),ISBLANK($K35),ISBLANK($L35)),"",IF($L35="0–9 km",0,IF(LEFT($D35,18)="Long-term teaching",VLOOKUP($K35,Subsistence,2,0)*14+VLOOKUP($K35,Subsistence,3,0)*46+VLOOKUP($K35,Subsistence,4,0)*($F35-60),IF(LEFT($D35,18)="Short-term joint s",IF($F35&lt;15,Ceilings!$S$3*$F35,Ceilings!$S$3*14+Ceilings!$S$4*($F35-14)),IF($F35&lt;15,Ceilings!$S$6*$F35,Ceilings!$S$6*14+Ceilings!$S$7*($F35-14))))))</f>
        <v/>
      </c>
      <c r="O35" s="185" t="str">
        <f>IF(OR(ISBLANK(D35),ISBLANK(H35),ISBLANK(K35),ISBLANK(L35)),"",IF(L35="0–9 km",0,IF(I35&lt;15,Ceilings!$S$3*I35,Ceilings!$S$3*14+Ceilings!$S$4*(I35-14))))</f>
        <v/>
      </c>
      <c r="P35" s="183" t="str">
        <f t="shared" si="5"/>
        <v/>
      </c>
      <c r="Q35" s="436"/>
      <c r="R35" s="266" t="str">
        <f>IF(OR(ISBLANK($D35),ISBLANK($K35),ISBLANK(Q35)),"",Ceilings!$V$3*Q35)</f>
        <v/>
      </c>
      <c r="S35" s="72" t="str">
        <f t="shared" si="2"/>
        <v/>
      </c>
    </row>
    <row r="36" spans="1:19" ht="15.75" customHeight="1">
      <c r="A36" s="506"/>
      <c r="B36" s="51" t="str">
        <f>IF(ISBLANK(A36),"",VLOOKUP(A36,Management!$A$11:$C$25,2,0))</f>
        <v/>
      </c>
      <c r="C36" s="433"/>
      <c r="D36" s="421"/>
      <c r="E36" s="433"/>
      <c r="F36" s="434"/>
      <c r="G36" s="95" t="str">
        <f t="shared" si="3"/>
        <v/>
      </c>
      <c r="H36" s="435"/>
      <c r="I36" s="434"/>
      <c r="J36" s="95" t="str">
        <f t="shared" si="4"/>
        <v/>
      </c>
      <c r="K36" s="81"/>
      <c r="L36" s="362"/>
      <c r="M36" s="256" t="str">
        <f t="shared" si="0"/>
        <v/>
      </c>
      <c r="N36" s="184" t="str">
        <f>IF(OR(ISBLANK($D36),ISBLANK($K36),ISBLANK($L36)),"",IF($L36="0–9 km",0,IF(LEFT($D36,18)="Long-term teaching",VLOOKUP($K36,Subsistence,2,0)*14+VLOOKUP($K36,Subsistence,3,0)*46+VLOOKUP($K36,Subsistence,4,0)*($F36-60),IF(LEFT($D36,18)="Short-term joint s",IF($F36&lt;15,Ceilings!$S$3*$F36,Ceilings!$S$3*14+Ceilings!$S$4*($F36-14)),IF($F36&lt;15,Ceilings!$S$6*$F36,Ceilings!$S$6*14+Ceilings!$S$7*($F36-14))))))</f>
        <v/>
      </c>
      <c r="O36" s="185" t="str">
        <f>IF(OR(ISBLANK(D36),ISBLANK(H36),ISBLANK(K36),ISBLANK(L36)),"",IF(L36="0–9 km",0,IF(I36&lt;15,Ceilings!$S$3*I36,Ceilings!$S$3*14+Ceilings!$S$4*(I36-14))))</f>
        <v/>
      </c>
      <c r="P36" s="183" t="str">
        <f t="shared" si="5"/>
        <v/>
      </c>
      <c r="Q36" s="436"/>
      <c r="R36" s="266" t="str">
        <f>IF(OR(ISBLANK($D36),ISBLANK($K36),ISBLANK(Q36)),"",Ceilings!$V$3*Q36)</f>
        <v/>
      </c>
      <c r="S36" s="72" t="str">
        <f t="shared" si="2"/>
        <v/>
      </c>
    </row>
    <row r="37" spans="1:19" ht="15.75" customHeight="1">
      <c r="A37" s="506"/>
      <c r="B37" s="51" t="str">
        <f>IF(ISBLANK(A37),"",VLOOKUP(A37,Management!$A$11:$C$25,2,0))</f>
        <v/>
      </c>
      <c r="C37" s="433"/>
      <c r="D37" s="421"/>
      <c r="E37" s="433"/>
      <c r="F37" s="434"/>
      <c r="G37" s="95" t="str">
        <f t="shared" si="3"/>
        <v/>
      </c>
      <c r="H37" s="435"/>
      <c r="I37" s="434"/>
      <c r="J37" s="95" t="str">
        <f t="shared" si="4"/>
        <v/>
      </c>
      <c r="K37" s="81"/>
      <c r="L37" s="362"/>
      <c r="M37" s="256" t="str">
        <f t="shared" si="0"/>
        <v/>
      </c>
      <c r="N37" s="184" t="str">
        <f>IF(OR(ISBLANK($D37),ISBLANK($K37),ISBLANK($L37)),"",IF($L37="0–9 km",0,IF(LEFT($D37,18)="Long-term teaching",VLOOKUP($K37,Subsistence,2,0)*14+VLOOKUP($K37,Subsistence,3,0)*46+VLOOKUP($K37,Subsistence,4,0)*($F37-60),IF(LEFT($D37,18)="Short-term joint s",IF($F37&lt;15,Ceilings!$S$3*$F37,Ceilings!$S$3*14+Ceilings!$S$4*($F37-14)),IF($F37&lt;15,Ceilings!$S$6*$F37,Ceilings!$S$6*14+Ceilings!$S$7*($F37-14))))))</f>
        <v/>
      </c>
      <c r="O37" s="185" t="str">
        <f>IF(OR(ISBLANK(D37),ISBLANK(H37),ISBLANK(K37),ISBLANK(L37)),"",IF(L37="0–9 km",0,IF(I37&lt;15,Ceilings!$S$3*I37,Ceilings!$S$3*14+Ceilings!$S$4*(I37-14))))</f>
        <v/>
      </c>
      <c r="P37" s="183" t="str">
        <f t="shared" si="5"/>
        <v/>
      </c>
      <c r="Q37" s="436"/>
      <c r="R37" s="266" t="str">
        <f>IF(OR(ISBLANK($D37),ISBLANK($K37),ISBLANK(Q37)),"",Ceilings!$V$3*Q37)</f>
        <v/>
      </c>
      <c r="S37" s="72" t="str">
        <f t="shared" si="2"/>
        <v/>
      </c>
    </row>
    <row r="38" spans="1:19" ht="15.75" customHeight="1">
      <c r="A38" s="506"/>
      <c r="B38" s="51" t="str">
        <f>IF(ISBLANK(A38),"",VLOOKUP(A38,Management!$A$11:$C$25,2,0))</f>
        <v/>
      </c>
      <c r="C38" s="433"/>
      <c r="D38" s="421"/>
      <c r="E38" s="433"/>
      <c r="F38" s="434"/>
      <c r="G38" s="95" t="str">
        <f t="shared" si="3"/>
        <v/>
      </c>
      <c r="H38" s="435"/>
      <c r="I38" s="434"/>
      <c r="J38" s="95" t="str">
        <f t="shared" si="4"/>
        <v/>
      </c>
      <c r="K38" s="81"/>
      <c r="L38" s="362"/>
      <c r="M38" s="256" t="str">
        <f t="shared" si="0"/>
        <v/>
      </c>
      <c r="N38" s="184" t="str">
        <f>IF(OR(ISBLANK($D38),ISBLANK($K38),ISBLANK($L38)),"",IF($L38="0–9 km",0,IF(LEFT($D38,18)="Long-term teaching",VLOOKUP($K38,Subsistence,2,0)*14+VLOOKUP($K38,Subsistence,3,0)*46+VLOOKUP($K38,Subsistence,4,0)*($F38-60),IF(LEFT($D38,18)="Short-term joint s",IF($F38&lt;15,Ceilings!$S$3*$F38,Ceilings!$S$3*14+Ceilings!$S$4*($F38-14)),IF($F38&lt;15,Ceilings!$S$6*$F38,Ceilings!$S$6*14+Ceilings!$S$7*($F38-14))))))</f>
        <v/>
      </c>
      <c r="O38" s="185" t="str">
        <f>IF(OR(ISBLANK(D38),ISBLANK(H38),ISBLANK(K38),ISBLANK(L38)),"",IF(L38="0–9 km",0,IF(I38&lt;15,Ceilings!$S$3*I38,Ceilings!$S$3*14+Ceilings!$S$4*(I38-14))))</f>
        <v/>
      </c>
      <c r="P38" s="183" t="str">
        <f t="shared" si="5"/>
        <v/>
      </c>
      <c r="Q38" s="436"/>
      <c r="R38" s="266" t="str">
        <f>IF(OR(ISBLANK($D38),ISBLANK($K38),ISBLANK(Q38)),"",Ceilings!$V$3*Q38)</f>
        <v/>
      </c>
      <c r="S38" s="72" t="str">
        <f t="shared" si="2"/>
        <v/>
      </c>
    </row>
    <row r="39" spans="1:19" ht="15.75" customHeight="1">
      <c r="A39" s="506"/>
      <c r="B39" s="51" t="str">
        <f>IF(ISBLANK(A39),"",VLOOKUP(A39,Management!$A$11:$C$25,2,0))</f>
        <v/>
      </c>
      <c r="C39" s="433"/>
      <c r="D39" s="421"/>
      <c r="E39" s="433"/>
      <c r="F39" s="434"/>
      <c r="G39" s="95" t="str">
        <f t="shared" si="3"/>
        <v/>
      </c>
      <c r="H39" s="435"/>
      <c r="I39" s="434"/>
      <c r="J39" s="95" t="str">
        <f t="shared" si="4"/>
        <v/>
      </c>
      <c r="K39" s="81"/>
      <c r="L39" s="362"/>
      <c r="M39" s="256" t="str">
        <f t="shared" ref="M39:M70" si="6">IF(ISBLANK(L39),"",(E39+H39)*VLOOKUP(L39,TravelGrant,2,0))</f>
        <v/>
      </c>
      <c r="N39" s="184" t="str">
        <f>IF(OR(ISBLANK($D39),ISBLANK($K39),ISBLANK($L39)),"",IF($L39="0–9 km",0,IF(LEFT($D39,18)="Long-term teaching",VLOOKUP($K39,Subsistence,2,0)*14+VLOOKUP($K39,Subsistence,3,0)*46+VLOOKUP($K39,Subsistence,4,0)*($F39-60),IF(LEFT($D39,18)="Short-term joint s",IF($F39&lt;15,Ceilings!$S$3*$F39,Ceilings!$S$3*14+Ceilings!$S$4*($F39-14)),IF($F39&lt;15,Ceilings!$S$6*$F39,Ceilings!$S$6*14+Ceilings!$S$7*($F39-14))))))</f>
        <v/>
      </c>
      <c r="O39" s="185" t="str">
        <f>IF(OR(ISBLANK(D39),ISBLANK(H39),ISBLANK(K39),ISBLANK(L39)),"",IF(L39="0–9 km",0,IF(I39&lt;15,Ceilings!$S$3*I39,Ceilings!$S$3*14+Ceilings!$S$4*(I39-14))))</f>
        <v/>
      </c>
      <c r="P39" s="183" t="str">
        <f t="shared" si="5"/>
        <v/>
      </c>
      <c r="Q39" s="436"/>
      <c r="R39" s="266" t="str">
        <f>IF(OR(ISBLANK($D39),ISBLANK($K39),ISBLANK(Q39)),"",Ceilings!$V$3*Q39)</f>
        <v/>
      </c>
      <c r="S39" s="72" t="str">
        <f t="shared" ref="S39:S70" si="7">IF(ISBLANK($A39),"",IF(OR(ISBLANK($C39),ISBLANK($D39),ISBLANK($E39),ISBLANK($K39)),"Missing data",SUM($M39,$P39,$R39)))</f>
        <v/>
      </c>
    </row>
    <row r="40" spans="1:19" ht="15.75" customHeight="1">
      <c r="A40" s="506"/>
      <c r="B40" s="51" t="str">
        <f>IF(ISBLANK(A40),"",VLOOKUP(A40,Management!$A$11:$C$25,2,0))</f>
        <v/>
      </c>
      <c r="C40" s="433"/>
      <c r="D40" s="421"/>
      <c r="E40" s="433"/>
      <c r="F40" s="434"/>
      <c r="G40" s="95" t="str">
        <f t="shared" si="3"/>
        <v/>
      </c>
      <c r="H40" s="435"/>
      <c r="I40" s="434"/>
      <c r="J40" s="95" t="str">
        <f t="shared" si="4"/>
        <v/>
      </c>
      <c r="K40" s="81"/>
      <c r="L40" s="362"/>
      <c r="M40" s="256" t="str">
        <f t="shared" si="6"/>
        <v/>
      </c>
      <c r="N40" s="184" t="str">
        <f>IF(OR(ISBLANK($D40),ISBLANK($K40),ISBLANK($L40)),"",IF($L40="0–9 km",0,IF(LEFT($D40,18)="Long-term teaching",VLOOKUP($K40,Subsistence,2,0)*14+VLOOKUP($K40,Subsistence,3,0)*46+VLOOKUP($K40,Subsistence,4,0)*($F40-60),IF(LEFT($D40,18)="Short-term joint s",IF($F40&lt;15,Ceilings!$S$3*$F40,Ceilings!$S$3*14+Ceilings!$S$4*($F40-14)),IF($F40&lt;15,Ceilings!$S$6*$F40,Ceilings!$S$6*14+Ceilings!$S$7*($F40-14))))))</f>
        <v/>
      </c>
      <c r="O40" s="185" t="str">
        <f>IF(OR(ISBLANK(D40),ISBLANK(H40),ISBLANK(K40),ISBLANK(L40)),"",IF(L40="0–9 km",0,IF(I40&lt;15,Ceilings!$S$3*I40,Ceilings!$S$3*14+Ceilings!$S$4*(I40-14))))</f>
        <v/>
      </c>
      <c r="P40" s="183" t="str">
        <f t="shared" si="5"/>
        <v/>
      </c>
      <c r="Q40" s="436"/>
      <c r="R40" s="266" t="str">
        <f>IF(OR(ISBLANK($D40),ISBLANK($K40),ISBLANK(Q40)),"",Ceilings!$V$3*Q40)</f>
        <v/>
      </c>
      <c r="S40" s="72" t="str">
        <f t="shared" si="7"/>
        <v/>
      </c>
    </row>
    <row r="41" spans="1:19" ht="15.75" customHeight="1">
      <c r="A41" s="506"/>
      <c r="B41" s="51" t="str">
        <f>IF(ISBLANK(A41),"",VLOOKUP(A41,Management!$A$11:$C$25,2,0))</f>
        <v/>
      </c>
      <c r="C41" s="433"/>
      <c r="D41" s="421"/>
      <c r="E41" s="433"/>
      <c r="F41" s="434"/>
      <c r="G41" s="95" t="str">
        <f t="shared" si="3"/>
        <v/>
      </c>
      <c r="H41" s="435"/>
      <c r="I41" s="434"/>
      <c r="J41" s="95" t="str">
        <f t="shared" si="4"/>
        <v/>
      </c>
      <c r="K41" s="81"/>
      <c r="L41" s="362"/>
      <c r="M41" s="256" t="str">
        <f t="shared" si="6"/>
        <v/>
      </c>
      <c r="N41" s="184" t="str">
        <f>IF(OR(ISBLANK($D41),ISBLANK($K41),ISBLANK($L41)),"",IF($L41="0–9 km",0,IF(LEFT($D41,18)="Long-term teaching",VLOOKUP($K41,Subsistence,2,0)*14+VLOOKUP($K41,Subsistence,3,0)*46+VLOOKUP($K41,Subsistence,4,0)*($F41-60),IF(LEFT($D41,18)="Short-term joint s",IF($F41&lt;15,Ceilings!$S$3*$F41,Ceilings!$S$3*14+Ceilings!$S$4*($F41-14)),IF($F41&lt;15,Ceilings!$S$6*$F41,Ceilings!$S$6*14+Ceilings!$S$7*($F41-14))))))</f>
        <v/>
      </c>
      <c r="O41" s="185" t="str">
        <f>IF(OR(ISBLANK(D41),ISBLANK(H41),ISBLANK(K41),ISBLANK(L41)),"",IF(L41="0–9 km",0,IF(I41&lt;15,Ceilings!$S$3*I41,Ceilings!$S$3*14+Ceilings!$S$4*(I41-14))))</f>
        <v/>
      </c>
      <c r="P41" s="183" t="str">
        <f t="shared" si="5"/>
        <v/>
      </c>
      <c r="Q41" s="436"/>
      <c r="R41" s="266" t="str">
        <f>IF(OR(ISBLANK($D41),ISBLANK($K41),ISBLANK(Q41)),"",Ceilings!$V$3*Q41)</f>
        <v/>
      </c>
      <c r="S41" s="72" t="str">
        <f t="shared" si="7"/>
        <v/>
      </c>
    </row>
    <row r="42" spans="1:19" ht="15.75" customHeight="1">
      <c r="A42" s="506"/>
      <c r="B42" s="51" t="str">
        <f>IF(ISBLANK(A42),"",VLOOKUP(A42,Management!$A$11:$C$25,2,0))</f>
        <v/>
      </c>
      <c r="C42" s="433"/>
      <c r="D42" s="421"/>
      <c r="E42" s="433"/>
      <c r="F42" s="434"/>
      <c r="G42" s="95" t="str">
        <f t="shared" si="3"/>
        <v/>
      </c>
      <c r="H42" s="435"/>
      <c r="I42" s="434"/>
      <c r="J42" s="95" t="str">
        <f t="shared" si="4"/>
        <v/>
      </c>
      <c r="K42" s="81"/>
      <c r="L42" s="362"/>
      <c r="M42" s="256" t="str">
        <f t="shared" si="6"/>
        <v/>
      </c>
      <c r="N42" s="184" t="str">
        <f>IF(OR(ISBLANK($D42),ISBLANK($K42),ISBLANK($L42)),"",IF($L42="0–9 km",0,IF(LEFT($D42,18)="Long-term teaching",VLOOKUP($K42,Subsistence,2,0)*14+VLOOKUP($K42,Subsistence,3,0)*46+VLOOKUP($K42,Subsistence,4,0)*($F42-60),IF(LEFT($D42,18)="Short-term joint s",IF($F42&lt;15,Ceilings!$S$3*$F42,Ceilings!$S$3*14+Ceilings!$S$4*($F42-14)),IF($F42&lt;15,Ceilings!$S$6*$F42,Ceilings!$S$6*14+Ceilings!$S$7*($F42-14))))))</f>
        <v/>
      </c>
      <c r="O42" s="185" t="str">
        <f>IF(OR(ISBLANK(D42),ISBLANK(H42),ISBLANK(K42),ISBLANK(L42)),"",IF(L42="0–9 km",0,IF(I42&lt;15,Ceilings!$S$3*I42,Ceilings!$S$3*14+Ceilings!$S$4*(I42-14))))</f>
        <v/>
      </c>
      <c r="P42" s="183" t="str">
        <f t="shared" si="5"/>
        <v/>
      </c>
      <c r="Q42" s="436"/>
      <c r="R42" s="266" t="str">
        <f>IF(OR(ISBLANK($D42),ISBLANK($K42),ISBLANK(Q42)),"",Ceilings!$V$3*Q42)</f>
        <v/>
      </c>
      <c r="S42" s="72" t="str">
        <f t="shared" si="7"/>
        <v/>
      </c>
    </row>
    <row r="43" spans="1:19" ht="15.75" customHeight="1">
      <c r="A43" s="506"/>
      <c r="B43" s="51" t="str">
        <f>IF(ISBLANK(A43),"",VLOOKUP(A43,Management!$A$11:$C$25,2,0))</f>
        <v/>
      </c>
      <c r="C43" s="433"/>
      <c r="D43" s="421"/>
      <c r="E43" s="433"/>
      <c r="F43" s="434"/>
      <c r="G43" s="95" t="str">
        <f t="shared" si="3"/>
        <v/>
      </c>
      <c r="H43" s="435"/>
      <c r="I43" s="434"/>
      <c r="J43" s="95" t="str">
        <f t="shared" si="4"/>
        <v/>
      </c>
      <c r="K43" s="81"/>
      <c r="L43" s="362"/>
      <c r="M43" s="256" t="str">
        <f t="shared" si="6"/>
        <v/>
      </c>
      <c r="N43" s="184" t="str">
        <f>IF(OR(ISBLANK($D43),ISBLANK($K43),ISBLANK($L43)),"",IF($L43="0–9 km",0,IF(LEFT($D43,18)="Long-term teaching",VLOOKUP($K43,Subsistence,2,0)*14+VLOOKUP($K43,Subsistence,3,0)*46+VLOOKUP($K43,Subsistence,4,0)*($F43-60),IF(LEFT($D43,18)="Short-term joint s",IF($F43&lt;15,Ceilings!$S$3*$F43,Ceilings!$S$3*14+Ceilings!$S$4*($F43-14)),IF($F43&lt;15,Ceilings!$S$6*$F43,Ceilings!$S$6*14+Ceilings!$S$7*($F43-14))))))</f>
        <v/>
      </c>
      <c r="O43" s="185" t="str">
        <f>IF(OR(ISBLANK(D43),ISBLANK(H43),ISBLANK(K43),ISBLANK(L43)),"",IF(L43="0–9 km",0,IF(I43&lt;15,Ceilings!$S$3*I43,Ceilings!$S$3*14+Ceilings!$S$4*(I43-14))))</f>
        <v/>
      </c>
      <c r="P43" s="183" t="str">
        <f t="shared" si="5"/>
        <v/>
      </c>
      <c r="Q43" s="436"/>
      <c r="R43" s="266" t="str">
        <f>IF(OR(ISBLANK($D43),ISBLANK($K43),ISBLANK(Q43)),"",Ceilings!$V$3*Q43)</f>
        <v/>
      </c>
      <c r="S43" s="72" t="str">
        <f t="shared" si="7"/>
        <v/>
      </c>
    </row>
    <row r="44" spans="1:19" ht="15.75" customHeight="1">
      <c r="A44" s="506"/>
      <c r="B44" s="51" t="str">
        <f>IF(ISBLANK(A44),"",VLOOKUP(A44,Management!$A$11:$C$25,2,0))</f>
        <v/>
      </c>
      <c r="C44" s="433"/>
      <c r="D44" s="421"/>
      <c r="E44" s="433"/>
      <c r="F44" s="434"/>
      <c r="G44" s="95" t="str">
        <f t="shared" si="3"/>
        <v/>
      </c>
      <c r="H44" s="435"/>
      <c r="I44" s="434"/>
      <c r="J44" s="95" t="str">
        <f t="shared" si="4"/>
        <v/>
      </c>
      <c r="K44" s="81"/>
      <c r="L44" s="362"/>
      <c r="M44" s="256" t="str">
        <f t="shared" si="6"/>
        <v/>
      </c>
      <c r="N44" s="184" t="str">
        <f>IF(OR(ISBLANK($D44),ISBLANK($K44),ISBLANK($L44)),"",IF($L44="0–9 km",0,IF(LEFT($D44,18)="Long-term teaching",VLOOKUP($K44,Subsistence,2,0)*14+VLOOKUP($K44,Subsistence,3,0)*46+VLOOKUP($K44,Subsistence,4,0)*($F44-60),IF(LEFT($D44,18)="Short-term joint s",IF($F44&lt;15,Ceilings!$S$3*$F44,Ceilings!$S$3*14+Ceilings!$S$4*($F44-14)),IF($F44&lt;15,Ceilings!$S$6*$F44,Ceilings!$S$6*14+Ceilings!$S$7*($F44-14))))))</f>
        <v/>
      </c>
      <c r="O44" s="185" t="str">
        <f>IF(OR(ISBLANK(D44),ISBLANK(H44),ISBLANK(K44),ISBLANK(L44)),"",IF(L44="0–9 km",0,IF(I44&lt;15,Ceilings!$S$3*I44,Ceilings!$S$3*14+Ceilings!$S$4*(I44-14))))</f>
        <v/>
      </c>
      <c r="P44" s="183" t="str">
        <f t="shared" si="5"/>
        <v/>
      </c>
      <c r="Q44" s="436"/>
      <c r="R44" s="266" t="str">
        <f>IF(OR(ISBLANK($D44),ISBLANK($K44),ISBLANK(Q44)),"",Ceilings!$V$3*Q44)</f>
        <v/>
      </c>
      <c r="S44" s="72" t="str">
        <f t="shared" si="7"/>
        <v/>
      </c>
    </row>
    <row r="45" spans="1:19" ht="15.75" customHeight="1">
      <c r="A45" s="506"/>
      <c r="B45" s="51" t="str">
        <f>IF(ISBLANK(A45),"",VLOOKUP(A45,Management!$A$11:$C$25,2,0))</f>
        <v/>
      </c>
      <c r="C45" s="433"/>
      <c r="D45" s="421"/>
      <c r="E45" s="433"/>
      <c r="F45" s="434"/>
      <c r="G45" s="95" t="str">
        <f t="shared" si="3"/>
        <v/>
      </c>
      <c r="H45" s="435"/>
      <c r="I45" s="434"/>
      <c r="J45" s="95" t="str">
        <f t="shared" si="4"/>
        <v/>
      </c>
      <c r="K45" s="81"/>
      <c r="L45" s="362"/>
      <c r="M45" s="256" t="str">
        <f t="shared" si="6"/>
        <v/>
      </c>
      <c r="N45" s="184" t="str">
        <f>IF(OR(ISBLANK($D45),ISBLANK($K45),ISBLANK($L45)),"",IF($L45="0–9 km",0,IF(LEFT($D45,18)="Long-term teaching",VLOOKUP($K45,Subsistence,2,0)*14+VLOOKUP($K45,Subsistence,3,0)*46+VLOOKUP($K45,Subsistence,4,0)*($F45-60),IF(LEFT($D45,18)="Short-term joint s",IF($F45&lt;15,Ceilings!$S$3*$F45,Ceilings!$S$3*14+Ceilings!$S$4*($F45-14)),IF($F45&lt;15,Ceilings!$S$6*$F45,Ceilings!$S$6*14+Ceilings!$S$7*($F45-14))))))</f>
        <v/>
      </c>
      <c r="O45" s="185" t="str">
        <f>IF(OR(ISBLANK(D45),ISBLANK(H45),ISBLANK(K45),ISBLANK(L45)),"",IF(L45="0–9 km",0,IF(I45&lt;15,Ceilings!$S$3*I45,Ceilings!$S$3*14+Ceilings!$S$4*(I45-14))))</f>
        <v/>
      </c>
      <c r="P45" s="183" t="str">
        <f t="shared" si="5"/>
        <v/>
      </c>
      <c r="Q45" s="436"/>
      <c r="R45" s="266" t="str">
        <f>IF(OR(ISBLANK($D45),ISBLANK($K45),ISBLANK(Q45)),"",Ceilings!$V$3*Q45)</f>
        <v/>
      </c>
      <c r="S45" s="72" t="str">
        <f t="shared" si="7"/>
        <v/>
      </c>
    </row>
    <row r="46" spans="1:19" ht="15.75" customHeight="1">
      <c r="A46" s="506"/>
      <c r="B46" s="51" t="str">
        <f>IF(ISBLANK(A46),"",VLOOKUP(A46,Management!$A$11:$C$25,2,0))</f>
        <v/>
      </c>
      <c r="C46" s="433"/>
      <c r="D46" s="421"/>
      <c r="E46" s="433"/>
      <c r="F46" s="434"/>
      <c r="G46" s="95" t="str">
        <f t="shared" si="3"/>
        <v/>
      </c>
      <c r="H46" s="435"/>
      <c r="I46" s="434"/>
      <c r="J46" s="95" t="str">
        <f t="shared" si="4"/>
        <v/>
      </c>
      <c r="K46" s="81"/>
      <c r="L46" s="362"/>
      <c r="M46" s="256" t="str">
        <f t="shared" si="6"/>
        <v/>
      </c>
      <c r="N46" s="184" t="str">
        <f>IF(OR(ISBLANK($D46),ISBLANK($K46),ISBLANK($L46)),"",IF($L46="0–9 km",0,IF(LEFT($D46,18)="Long-term teaching",VLOOKUP($K46,Subsistence,2,0)*14+VLOOKUP($K46,Subsistence,3,0)*46+VLOOKUP($K46,Subsistence,4,0)*($F46-60),IF(LEFT($D46,18)="Short-term joint s",IF($F46&lt;15,Ceilings!$S$3*$F46,Ceilings!$S$3*14+Ceilings!$S$4*($F46-14)),IF($F46&lt;15,Ceilings!$S$6*$F46,Ceilings!$S$6*14+Ceilings!$S$7*($F46-14))))))</f>
        <v/>
      </c>
      <c r="O46" s="185" t="str">
        <f>IF(OR(ISBLANK(D46),ISBLANK(H46),ISBLANK(K46),ISBLANK(L46)),"",IF(L46="0–9 km",0,IF(I46&lt;15,Ceilings!$S$3*I46,Ceilings!$S$3*14+Ceilings!$S$4*(I46-14))))</f>
        <v/>
      </c>
      <c r="P46" s="183" t="str">
        <f t="shared" si="5"/>
        <v/>
      </c>
      <c r="Q46" s="436"/>
      <c r="R46" s="266" t="str">
        <f>IF(OR(ISBLANK($D46),ISBLANK($K46),ISBLANK(Q46)),"",Ceilings!$V$3*Q46)</f>
        <v/>
      </c>
      <c r="S46" s="72" t="str">
        <f t="shared" si="7"/>
        <v/>
      </c>
    </row>
    <row r="47" spans="1:19" ht="15.75" customHeight="1">
      <c r="A47" s="506"/>
      <c r="B47" s="51" t="str">
        <f>IF(ISBLANK(A47),"",VLOOKUP(A47,Management!$A$11:$C$25,2,0))</f>
        <v/>
      </c>
      <c r="C47" s="433"/>
      <c r="D47" s="421"/>
      <c r="E47" s="433"/>
      <c r="F47" s="434"/>
      <c r="G47" s="95" t="str">
        <f t="shared" si="3"/>
        <v/>
      </c>
      <c r="H47" s="435"/>
      <c r="I47" s="434"/>
      <c r="J47" s="95" t="str">
        <f t="shared" si="4"/>
        <v/>
      </c>
      <c r="K47" s="81"/>
      <c r="L47" s="362"/>
      <c r="M47" s="256" t="str">
        <f t="shared" si="6"/>
        <v/>
      </c>
      <c r="N47" s="184" t="str">
        <f>IF(OR(ISBLANK($D47),ISBLANK($K47),ISBLANK($L47)),"",IF($L47="0–9 km",0,IF(LEFT($D47,18)="Long-term teaching",VLOOKUP($K47,Subsistence,2,0)*14+VLOOKUP($K47,Subsistence,3,0)*46+VLOOKUP($K47,Subsistence,4,0)*($F47-60),IF(LEFT($D47,18)="Short-term joint s",IF($F47&lt;15,Ceilings!$S$3*$F47,Ceilings!$S$3*14+Ceilings!$S$4*($F47-14)),IF($F47&lt;15,Ceilings!$S$6*$F47,Ceilings!$S$6*14+Ceilings!$S$7*($F47-14))))))</f>
        <v/>
      </c>
      <c r="O47" s="185" t="str">
        <f>IF(OR(ISBLANK(D47),ISBLANK(H47),ISBLANK(K47),ISBLANK(L47)),"",IF(L47="0–9 km",0,IF(I47&lt;15,Ceilings!$S$3*I47,Ceilings!$S$3*14+Ceilings!$S$4*(I47-14))))</f>
        <v/>
      </c>
      <c r="P47" s="183" t="str">
        <f t="shared" si="5"/>
        <v/>
      </c>
      <c r="Q47" s="436"/>
      <c r="R47" s="266" t="str">
        <f>IF(OR(ISBLANK($D47),ISBLANK($K47),ISBLANK(Q47)),"",Ceilings!$V$3*Q47)</f>
        <v/>
      </c>
      <c r="S47" s="72" t="str">
        <f t="shared" si="7"/>
        <v/>
      </c>
    </row>
    <row r="48" spans="1:19" ht="15.75" customHeight="1">
      <c r="A48" s="506"/>
      <c r="B48" s="51" t="str">
        <f>IF(ISBLANK(A48),"",VLOOKUP(A48,Management!$A$11:$C$25,2,0))</f>
        <v/>
      </c>
      <c r="C48" s="433"/>
      <c r="D48" s="421"/>
      <c r="E48" s="433"/>
      <c r="F48" s="434"/>
      <c r="G48" s="95" t="str">
        <f t="shared" si="3"/>
        <v/>
      </c>
      <c r="H48" s="435"/>
      <c r="I48" s="434"/>
      <c r="J48" s="95" t="str">
        <f t="shared" si="4"/>
        <v/>
      </c>
      <c r="K48" s="81"/>
      <c r="L48" s="362"/>
      <c r="M48" s="256" t="str">
        <f t="shared" si="6"/>
        <v/>
      </c>
      <c r="N48" s="184" t="str">
        <f>IF(OR(ISBLANK($D48),ISBLANK($K48),ISBLANK($L48)),"",IF($L48="0–9 km",0,IF(LEFT($D48,18)="Long-term teaching",VLOOKUP($K48,Subsistence,2,0)*14+VLOOKUP($K48,Subsistence,3,0)*46+VLOOKUP($K48,Subsistence,4,0)*($F48-60),IF(LEFT($D48,18)="Short-term joint s",IF($F48&lt;15,Ceilings!$S$3*$F48,Ceilings!$S$3*14+Ceilings!$S$4*($F48-14)),IF($F48&lt;15,Ceilings!$S$6*$F48,Ceilings!$S$6*14+Ceilings!$S$7*($F48-14))))))</f>
        <v/>
      </c>
      <c r="O48" s="185" t="str">
        <f>IF(OR(ISBLANK(D48),ISBLANK(H48),ISBLANK(K48),ISBLANK(L48)),"",IF(L48="0–9 km",0,IF(I48&lt;15,Ceilings!$S$3*I48,Ceilings!$S$3*14+Ceilings!$S$4*(I48-14))))</f>
        <v/>
      </c>
      <c r="P48" s="183" t="str">
        <f t="shared" si="5"/>
        <v/>
      </c>
      <c r="Q48" s="436"/>
      <c r="R48" s="266" t="str">
        <f>IF(OR(ISBLANK($D48),ISBLANK($K48),ISBLANK(Q48)),"",Ceilings!$V$3*Q48)</f>
        <v/>
      </c>
      <c r="S48" s="72" t="str">
        <f t="shared" si="7"/>
        <v/>
      </c>
    </row>
    <row r="49" spans="1:19" ht="15.75" customHeight="1">
      <c r="A49" s="506"/>
      <c r="B49" s="51" t="str">
        <f>IF(ISBLANK(A49),"",VLOOKUP(A49,Management!$A$11:$C$25,2,0))</f>
        <v/>
      </c>
      <c r="C49" s="433"/>
      <c r="D49" s="421"/>
      <c r="E49" s="433"/>
      <c r="F49" s="434"/>
      <c r="G49" s="95" t="str">
        <f t="shared" si="3"/>
        <v/>
      </c>
      <c r="H49" s="435"/>
      <c r="I49" s="434"/>
      <c r="J49" s="95" t="str">
        <f t="shared" si="4"/>
        <v/>
      </c>
      <c r="K49" s="81"/>
      <c r="L49" s="362"/>
      <c r="M49" s="256" t="str">
        <f t="shared" si="6"/>
        <v/>
      </c>
      <c r="N49" s="184" t="str">
        <f>IF(OR(ISBLANK($D49),ISBLANK($K49),ISBLANK($L49)),"",IF($L49="0–9 km",0,IF(LEFT($D49,18)="Long-term teaching",VLOOKUP($K49,Subsistence,2,0)*14+VLOOKUP($K49,Subsistence,3,0)*46+VLOOKUP($K49,Subsistence,4,0)*($F49-60),IF(LEFT($D49,18)="Short-term joint s",IF($F49&lt;15,Ceilings!$S$3*$F49,Ceilings!$S$3*14+Ceilings!$S$4*($F49-14)),IF($F49&lt;15,Ceilings!$S$6*$F49,Ceilings!$S$6*14+Ceilings!$S$7*($F49-14))))))</f>
        <v/>
      </c>
      <c r="O49" s="185" t="str">
        <f>IF(OR(ISBLANK(D49),ISBLANK(H49),ISBLANK(K49),ISBLANK(L49)),"",IF(L49="0–9 km",0,IF(I49&lt;15,Ceilings!$S$3*I49,Ceilings!$S$3*14+Ceilings!$S$4*(I49-14))))</f>
        <v/>
      </c>
      <c r="P49" s="183" t="str">
        <f t="shared" si="5"/>
        <v/>
      </c>
      <c r="Q49" s="436"/>
      <c r="R49" s="266" t="str">
        <f>IF(OR(ISBLANK($D49),ISBLANK($K49),ISBLANK(Q49)),"",Ceilings!$V$3*Q49)</f>
        <v/>
      </c>
      <c r="S49" s="72" t="str">
        <f t="shared" si="7"/>
        <v/>
      </c>
    </row>
    <row r="50" spans="1:19" ht="15.75" customHeight="1">
      <c r="A50" s="506"/>
      <c r="B50" s="51" t="str">
        <f>IF(ISBLANK(A50),"",VLOOKUP(A50,Management!$A$11:$C$25,2,0))</f>
        <v/>
      </c>
      <c r="C50" s="433"/>
      <c r="D50" s="421"/>
      <c r="E50" s="433"/>
      <c r="F50" s="434"/>
      <c r="G50" s="95" t="str">
        <f t="shared" si="3"/>
        <v/>
      </c>
      <c r="H50" s="435"/>
      <c r="I50" s="434"/>
      <c r="J50" s="95" t="str">
        <f t="shared" si="4"/>
        <v/>
      </c>
      <c r="K50" s="81"/>
      <c r="L50" s="362"/>
      <c r="M50" s="256" t="str">
        <f t="shared" si="6"/>
        <v/>
      </c>
      <c r="N50" s="184" t="str">
        <f>IF(OR(ISBLANK($D50),ISBLANK($K50),ISBLANK($L50)),"",IF($L50="0–9 km",0,IF(LEFT($D50,18)="Long-term teaching",VLOOKUP($K50,Subsistence,2,0)*14+VLOOKUP($K50,Subsistence,3,0)*46+VLOOKUP($K50,Subsistence,4,0)*($F50-60),IF(LEFT($D50,18)="Short-term joint s",IF($F50&lt;15,Ceilings!$S$3*$F50,Ceilings!$S$3*14+Ceilings!$S$4*($F50-14)),IF($F50&lt;15,Ceilings!$S$6*$F50,Ceilings!$S$6*14+Ceilings!$S$7*($F50-14))))))</f>
        <v/>
      </c>
      <c r="O50" s="185" t="str">
        <f>IF(OR(ISBLANK(D50),ISBLANK(H50),ISBLANK(K50),ISBLANK(L50)),"",IF(L50="0–9 km",0,IF(I50&lt;15,Ceilings!$S$3*I50,Ceilings!$S$3*14+Ceilings!$S$4*(I50-14))))</f>
        <v/>
      </c>
      <c r="P50" s="183" t="str">
        <f t="shared" si="5"/>
        <v/>
      </c>
      <c r="Q50" s="436"/>
      <c r="R50" s="266" t="str">
        <f>IF(OR(ISBLANK($D50),ISBLANK($K50),ISBLANK(Q50)),"",Ceilings!$V$3*Q50)</f>
        <v/>
      </c>
      <c r="S50" s="72" t="str">
        <f t="shared" si="7"/>
        <v/>
      </c>
    </row>
    <row r="51" spans="1:19" ht="15.75" customHeight="1">
      <c r="A51" s="506"/>
      <c r="B51" s="51" t="str">
        <f>IF(ISBLANK(A51),"",VLOOKUP(A51,Management!$A$11:$C$25,2,0))</f>
        <v/>
      </c>
      <c r="C51" s="433"/>
      <c r="D51" s="421"/>
      <c r="E51" s="433"/>
      <c r="F51" s="434"/>
      <c r="G51" s="95" t="str">
        <f t="shared" si="3"/>
        <v/>
      </c>
      <c r="H51" s="435"/>
      <c r="I51" s="434"/>
      <c r="J51" s="95" t="str">
        <f t="shared" si="4"/>
        <v/>
      </c>
      <c r="K51" s="81"/>
      <c r="L51" s="362"/>
      <c r="M51" s="256" t="str">
        <f t="shared" si="6"/>
        <v/>
      </c>
      <c r="N51" s="184" t="str">
        <f>IF(OR(ISBLANK($D51),ISBLANK($K51),ISBLANK($L51)),"",IF($L51="0–9 km",0,IF(LEFT($D51,18)="Long-term teaching",VLOOKUP($K51,Subsistence,2,0)*14+VLOOKUP($K51,Subsistence,3,0)*46+VLOOKUP($K51,Subsistence,4,0)*($F51-60),IF(LEFT($D51,18)="Short-term joint s",IF($F51&lt;15,Ceilings!$S$3*$F51,Ceilings!$S$3*14+Ceilings!$S$4*($F51-14)),IF($F51&lt;15,Ceilings!$S$6*$F51,Ceilings!$S$6*14+Ceilings!$S$7*($F51-14))))))</f>
        <v/>
      </c>
      <c r="O51" s="185" t="str">
        <f>IF(OR(ISBLANK(D51),ISBLANK(H51),ISBLANK(K51),ISBLANK(L51)),"",IF(L51="0–9 km",0,IF(I51&lt;15,Ceilings!$S$3*I51,Ceilings!$S$3*14+Ceilings!$S$4*(I51-14))))</f>
        <v/>
      </c>
      <c r="P51" s="183" t="str">
        <f t="shared" si="5"/>
        <v/>
      </c>
      <c r="Q51" s="436"/>
      <c r="R51" s="266" t="str">
        <f>IF(OR(ISBLANK($D51),ISBLANK($K51),ISBLANK(Q51)),"",Ceilings!$V$3*Q51)</f>
        <v/>
      </c>
      <c r="S51" s="72" t="str">
        <f t="shared" si="7"/>
        <v/>
      </c>
    </row>
    <row r="52" spans="1:19" ht="15.75" customHeight="1">
      <c r="A52" s="506"/>
      <c r="B52" s="51" t="str">
        <f>IF(ISBLANK(A52),"",VLOOKUP(A52,Management!$A$11:$C$25,2,0))</f>
        <v/>
      </c>
      <c r="C52" s="433"/>
      <c r="D52" s="421"/>
      <c r="E52" s="433"/>
      <c r="F52" s="434"/>
      <c r="G52" s="95" t="str">
        <f t="shared" si="3"/>
        <v/>
      </c>
      <c r="H52" s="435"/>
      <c r="I52" s="434"/>
      <c r="J52" s="95" t="str">
        <f t="shared" si="4"/>
        <v/>
      </c>
      <c r="K52" s="81"/>
      <c r="L52" s="362"/>
      <c r="M52" s="256" t="str">
        <f t="shared" si="6"/>
        <v/>
      </c>
      <c r="N52" s="184" t="str">
        <f>IF(OR(ISBLANK($D52),ISBLANK($K52),ISBLANK($L52)),"",IF($L52="0–9 km",0,IF(LEFT($D52,18)="Long-term teaching",VLOOKUP($K52,Subsistence,2,0)*14+VLOOKUP($K52,Subsistence,3,0)*46+VLOOKUP($K52,Subsistence,4,0)*($F52-60),IF(LEFT($D52,18)="Short-term joint s",IF($F52&lt;15,Ceilings!$S$3*$F52,Ceilings!$S$3*14+Ceilings!$S$4*($F52-14)),IF($F52&lt;15,Ceilings!$S$6*$F52,Ceilings!$S$6*14+Ceilings!$S$7*($F52-14))))))</f>
        <v/>
      </c>
      <c r="O52" s="185" t="str">
        <f>IF(OR(ISBLANK(D52),ISBLANK(H52),ISBLANK(K52),ISBLANK(L52)),"",IF(L52="0–9 km",0,IF(I52&lt;15,Ceilings!$S$3*I52,Ceilings!$S$3*14+Ceilings!$S$4*(I52-14))))</f>
        <v/>
      </c>
      <c r="P52" s="183" t="str">
        <f t="shared" si="5"/>
        <v/>
      </c>
      <c r="Q52" s="436"/>
      <c r="R52" s="266" t="str">
        <f>IF(OR(ISBLANK($D52),ISBLANK($K52),ISBLANK(Q52)),"",Ceilings!$V$3*Q52)</f>
        <v/>
      </c>
      <c r="S52" s="72" t="str">
        <f t="shared" si="7"/>
        <v/>
      </c>
    </row>
    <row r="53" spans="1:19" ht="15.75" customHeight="1">
      <c r="A53" s="506"/>
      <c r="B53" s="51" t="str">
        <f>IF(ISBLANK(A53),"",VLOOKUP(A53,Management!$A$11:$C$25,2,0))</f>
        <v/>
      </c>
      <c r="C53" s="433"/>
      <c r="D53" s="421"/>
      <c r="E53" s="433"/>
      <c r="F53" s="434"/>
      <c r="G53" s="95" t="str">
        <f t="shared" si="3"/>
        <v/>
      </c>
      <c r="H53" s="435"/>
      <c r="I53" s="434"/>
      <c r="J53" s="95" t="str">
        <f t="shared" si="4"/>
        <v/>
      </c>
      <c r="K53" s="81"/>
      <c r="L53" s="362"/>
      <c r="M53" s="256" t="str">
        <f t="shared" si="6"/>
        <v/>
      </c>
      <c r="N53" s="184" t="str">
        <f>IF(OR(ISBLANK($D53),ISBLANK($K53),ISBLANK($L53)),"",IF($L53="0–9 km",0,IF(LEFT($D53,18)="Long-term teaching",VLOOKUP($K53,Subsistence,2,0)*14+VLOOKUP($K53,Subsistence,3,0)*46+VLOOKUP($K53,Subsistence,4,0)*($F53-60),IF(LEFT($D53,18)="Short-term joint s",IF($F53&lt;15,Ceilings!$S$3*$F53,Ceilings!$S$3*14+Ceilings!$S$4*($F53-14)),IF($F53&lt;15,Ceilings!$S$6*$F53,Ceilings!$S$6*14+Ceilings!$S$7*($F53-14))))))</f>
        <v/>
      </c>
      <c r="O53" s="185" t="str">
        <f>IF(OR(ISBLANK(D53),ISBLANK(H53),ISBLANK(K53),ISBLANK(L53)),"",IF(L53="0–9 km",0,IF(I53&lt;15,Ceilings!$S$3*I53,Ceilings!$S$3*14+Ceilings!$S$4*(I53-14))))</f>
        <v/>
      </c>
      <c r="P53" s="183" t="str">
        <f t="shared" si="5"/>
        <v/>
      </c>
      <c r="Q53" s="436"/>
      <c r="R53" s="266" t="str">
        <f>IF(OR(ISBLANK($D53),ISBLANK($K53),ISBLANK(Q53)),"",Ceilings!$V$3*Q53)</f>
        <v/>
      </c>
      <c r="S53" s="72" t="str">
        <f t="shared" si="7"/>
        <v/>
      </c>
    </row>
    <row r="54" spans="1:19" ht="15.75" customHeight="1">
      <c r="A54" s="506"/>
      <c r="B54" s="51" t="str">
        <f>IF(ISBLANK(A54),"",VLOOKUP(A54,Management!$A$11:$C$25,2,0))</f>
        <v/>
      </c>
      <c r="C54" s="433"/>
      <c r="D54" s="421"/>
      <c r="E54" s="433"/>
      <c r="F54" s="434"/>
      <c r="G54" s="95" t="str">
        <f t="shared" si="3"/>
        <v/>
      </c>
      <c r="H54" s="435"/>
      <c r="I54" s="434"/>
      <c r="J54" s="95" t="str">
        <f t="shared" si="4"/>
        <v/>
      </c>
      <c r="K54" s="81"/>
      <c r="L54" s="362"/>
      <c r="M54" s="256" t="str">
        <f t="shared" si="6"/>
        <v/>
      </c>
      <c r="N54" s="184" t="str">
        <f>IF(OR(ISBLANK($D54),ISBLANK($K54),ISBLANK($L54)),"",IF($L54="0–9 km",0,IF(LEFT($D54,18)="Long-term teaching",VLOOKUP($K54,Subsistence,2,0)*14+VLOOKUP($K54,Subsistence,3,0)*46+VLOOKUP($K54,Subsistence,4,0)*($F54-60),IF(LEFT($D54,18)="Short-term joint s",IF($F54&lt;15,Ceilings!$S$3*$F54,Ceilings!$S$3*14+Ceilings!$S$4*($F54-14)),IF($F54&lt;15,Ceilings!$S$6*$F54,Ceilings!$S$6*14+Ceilings!$S$7*($F54-14))))))</f>
        <v/>
      </c>
      <c r="O54" s="185" t="str">
        <f>IF(OR(ISBLANK(D54),ISBLANK(H54),ISBLANK(K54),ISBLANK(L54)),"",IF(L54="0–9 km",0,IF(I54&lt;15,Ceilings!$S$3*I54,Ceilings!$S$3*14+Ceilings!$S$4*(I54-14))))</f>
        <v/>
      </c>
      <c r="P54" s="183" t="str">
        <f t="shared" si="5"/>
        <v/>
      </c>
      <c r="Q54" s="436"/>
      <c r="R54" s="266" t="str">
        <f>IF(OR(ISBLANK($D54),ISBLANK($K54),ISBLANK(Q54)),"",Ceilings!$V$3*Q54)</f>
        <v/>
      </c>
      <c r="S54" s="72" t="str">
        <f t="shared" si="7"/>
        <v/>
      </c>
    </row>
    <row r="55" spans="1:19" ht="15.75" customHeight="1">
      <c r="A55" s="506"/>
      <c r="B55" s="51" t="str">
        <f>IF(ISBLANK(A55),"",VLOOKUP(A55,Management!$A$11:$C$25,2,0))</f>
        <v/>
      </c>
      <c r="C55" s="433"/>
      <c r="D55" s="421"/>
      <c r="E55" s="433"/>
      <c r="F55" s="434"/>
      <c r="G55" s="95" t="str">
        <f t="shared" si="3"/>
        <v/>
      </c>
      <c r="H55" s="435"/>
      <c r="I55" s="434"/>
      <c r="J55" s="95" t="str">
        <f t="shared" si="4"/>
        <v/>
      </c>
      <c r="K55" s="81"/>
      <c r="L55" s="362"/>
      <c r="M55" s="256" t="str">
        <f t="shared" si="6"/>
        <v/>
      </c>
      <c r="N55" s="184" t="str">
        <f>IF(OR(ISBLANK($D55),ISBLANK($K55),ISBLANK($L55)),"",IF($L55="0–9 km",0,IF(LEFT($D55,18)="Long-term teaching",VLOOKUP($K55,Subsistence,2,0)*14+VLOOKUP($K55,Subsistence,3,0)*46+VLOOKUP($K55,Subsistence,4,0)*($F55-60),IF(LEFT($D55,18)="Short-term joint s",IF($F55&lt;15,Ceilings!$S$3*$F55,Ceilings!$S$3*14+Ceilings!$S$4*($F55-14)),IF($F55&lt;15,Ceilings!$S$6*$F55,Ceilings!$S$6*14+Ceilings!$S$7*($F55-14))))))</f>
        <v/>
      </c>
      <c r="O55" s="185" t="str">
        <f>IF(OR(ISBLANK(D55),ISBLANK(H55),ISBLANK(K55),ISBLANK(L55)),"",IF(L55="0–9 km",0,IF(I55&lt;15,Ceilings!$S$3*I55,Ceilings!$S$3*14+Ceilings!$S$4*(I55-14))))</f>
        <v/>
      </c>
      <c r="P55" s="183" t="str">
        <f t="shared" si="5"/>
        <v/>
      </c>
      <c r="Q55" s="436"/>
      <c r="R55" s="266" t="str">
        <f>IF(OR(ISBLANK($D55),ISBLANK($K55),ISBLANK(Q55)),"",Ceilings!$V$3*Q55)</f>
        <v/>
      </c>
      <c r="S55" s="72" t="str">
        <f t="shared" si="7"/>
        <v/>
      </c>
    </row>
    <row r="56" spans="1:19" ht="15.75" customHeight="1">
      <c r="A56" s="506"/>
      <c r="B56" s="51" t="str">
        <f>IF(ISBLANK(A56),"",VLOOKUP(A56,Management!$A$11:$C$25,2,0))</f>
        <v/>
      </c>
      <c r="C56" s="433"/>
      <c r="D56" s="421"/>
      <c r="E56" s="433"/>
      <c r="F56" s="434"/>
      <c r="G56" s="95" t="str">
        <f t="shared" si="3"/>
        <v/>
      </c>
      <c r="H56" s="435"/>
      <c r="I56" s="434"/>
      <c r="J56" s="95" t="str">
        <f t="shared" si="4"/>
        <v/>
      </c>
      <c r="K56" s="81"/>
      <c r="L56" s="362"/>
      <c r="M56" s="256" t="str">
        <f t="shared" si="6"/>
        <v/>
      </c>
      <c r="N56" s="184" t="str">
        <f>IF(OR(ISBLANK($D56),ISBLANK($K56),ISBLANK($L56)),"",IF($L56="0–9 km",0,IF(LEFT($D56,18)="Long-term teaching",VLOOKUP($K56,Subsistence,2,0)*14+VLOOKUP($K56,Subsistence,3,0)*46+VLOOKUP($K56,Subsistence,4,0)*($F56-60),IF(LEFT($D56,18)="Short-term joint s",IF($F56&lt;15,Ceilings!$S$3*$F56,Ceilings!$S$3*14+Ceilings!$S$4*($F56-14)),IF($F56&lt;15,Ceilings!$S$6*$F56,Ceilings!$S$6*14+Ceilings!$S$7*($F56-14))))))</f>
        <v/>
      </c>
      <c r="O56" s="185" t="str">
        <f>IF(OR(ISBLANK(D56),ISBLANK(H56),ISBLANK(K56),ISBLANK(L56)),"",IF(L56="0–9 km",0,IF(I56&lt;15,Ceilings!$S$3*I56,Ceilings!$S$3*14+Ceilings!$S$4*(I56-14))))</f>
        <v/>
      </c>
      <c r="P56" s="183" t="str">
        <f t="shared" si="5"/>
        <v/>
      </c>
      <c r="Q56" s="436"/>
      <c r="R56" s="266" t="str">
        <f>IF(OR(ISBLANK($D56),ISBLANK($K56),ISBLANK(Q56)),"",Ceilings!$V$3*Q56)</f>
        <v/>
      </c>
      <c r="S56" s="72" t="str">
        <f t="shared" si="7"/>
        <v/>
      </c>
    </row>
    <row r="57" spans="1:19" ht="15.75" customHeight="1">
      <c r="A57" s="506"/>
      <c r="B57" s="51" t="str">
        <f>IF(ISBLANK(A57),"",VLOOKUP(A57,Management!$A$11:$C$25,2,0))</f>
        <v/>
      </c>
      <c r="C57" s="433"/>
      <c r="D57" s="421"/>
      <c r="E57" s="433"/>
      <c r="F57" s="434"/>
      <c r="G57" s="95" t="str">
        <f t="shared" si="3"/>
        <v/>
      </c>
      <c r="H57" s="435"/>
      <c r="I57" s="434"/>
      <c r="J57" s="95" t="str">
        <f t="shared" si="4"/>
        <v/>
      </c>
      <c r="K57" s="81"/>
      <c r="L57" s="362"/>
      <c r="M57" s="256" t="str">
        <f t="shared" si="6"/>
        <v/>
      </c>
      <c r="N57" s="184" t="str">
        <f>IF(OR(ISBLANK($D57),ISBLANK($K57),ISBLANK($L57)),"",IF($L57="0–9 km",0,IF(LEFT($D57,18)="Long-term teaching",VLOOKUP($K57,Subsistence,2,0)*14+VLOOKUP($K57,Subsistence,3,0)*46+VLOOKUP($K57,Subsistence,4,0)*($F57-60),IF(LEFT($D57,18)="Short-term joint s",IF($F57&lt;15,Ceilings!$S$3*$F57,Ceilings!$S$3*14+Ceilings!$S$4*($F57-14)),IF($F57&lt;15,Ceilings!$S$6*$F57,Ceilings!$S$6*14+Ceilings!$S$7*($F57-14))))))</f>
        <v/>
      </c>
      <c r="O57" s="185" t="str">
        <f>IF(OR(ISBLANK(D57),ISBLANK(H57),ISBLANK(K57),ISBLANK(L57)),"",IF(L57="0–9 km",0,IF(I57&lt;15,Ceilings!$S$3*I57,Ceilings!$S$3*14+Ceilings!$S$4*(I57-14))))</f>
        <v/>
      </c>
      <c r="P57" s="183" t="str">
        <f t="shared" si="5"/>
        <v/>
      </c>
      <c r="Q57" s="436"/>
      <c r="R57" s="266" t="str">
        <f>IF(OR(ISBLANK($D57),ISBLANK($K57),ISBLANK(Q57)),"",Ceilings!$V$3*Q57)</f>
        <v/>
      </c>
      <c r="S57" s="72" t="str">
        <f t="shared" si="7"/>
        <v/>
      </c>
    </row>
    <row r="58" spans="1:19" ht="15.75" customHeight="1">
      <c r="A58" s="506"/>
      <c r="B58" s="51" t="str">
        <f>IF(ISBLANK(A58),"",VLOOKUP(A58,Management!$A$11:$C$25,2,0))</f>
        <v/>
      </c>
      <c r="C58" s="433"/>
      <c r="D58" s="421"/>
      <c r="E58" s="433"/>
      <c r="F58" s="434"/>
      <c r="G58" s="95" t="str">
        <f t="shared" si="3"/>
        <v/>
      </c>
      <c r="H58" s="435"/>
      <c r="I58" s="434"/>
      <c r="J58" s="95" t="str">
        <f t="shared" si="4"/>
        <v/>
      </c>
      <c r="K58" s="81"/>
      <c r="L58" s="362"/>
      <c r="M58" s="256" t="str">
        <f t="shared" si="6"/>
        <v/>
      </c>
      <c r="N58" s="184" t="str">
        <f>IF(OR(ISBLANK($D58),ISBLANK($K58),ISBLANK($L58)),"",IF($L58="0–9 km",0,IF(LEFT($D58,18)="Long-term teaching",VLOOKUP($K58,Subsistence,2,0)*14+VLOOKUP($K58,Subsistence,3,0)*46+VLOOKUP($K58,Subsistence,4,0)*($F58-60),IF(LEFT($D58,18)="Short-term joint s",IF($F58&lt;15,Ceilings!$S$3*$F58,Ceilings!$S$3*14+Ceilings!$S$4*($F58-14)),IF($F58&lt;15,Ceilings!$S$6*$F58,Ceilings!$S$6*14+Ceilings!$S$7*($F58-14))))))</f>
        <v/>
      </c>
      <c r="O58" s="185" t="str">
        <f>IF(OR(ISBLANK(D58),ISBLANK(H58),ISBLANK(K58),ISBLANK(L58)),"",IF(L58="0–9 km",0,IF(I58&lt;15,Ceilings!$S$3*I58,Ceilings!$S$3*14+Ceilings!$S$4*(I58-14))))</f>
        <v/>
      </c>
      <c r="P58" s="183" t="str">
        <f t="shared" si="5"/>
        <v/>
      </c>
      <c r="Q58" s="436"/>
      <c r="R58" s="266" t="str">
        <f>IF(OR(ISBLANK($D58),ISBLANK($K58),ISBLANK(Q58)),"",Ceilings!$V$3*Q58)</f>
        <v/>
      </c>
      <c r="S58" s="72" t="str">
        <f t="shared" si="7"/>
        <v/>
      </c>
    </row>
    <row r="59" spans="1:19" ht="15.75" customHeight="1">
      <c r="A59" s="506"/>
      <c r="B59" s="51" t="str">
        <f>IF(ISBLANK(A59),"",VLOOKUP(A59,Management!$A$11:$C$25,2,0))</f>
        <v/>
      </c>
      <c r="C59" s="433"/>
      <c r="D59" s="421"/>
      <c r="E59" s="433"/>
      <c r="F59" s="434"/>
      <c r="G59" s="95" t="str">
        <f t="shared" si="3"/>
        <v/>
      </c>
      <c r="H59" s="435"/>
      <c r="I59" s="434"/>
      <c r="J59" s="95" t="str">
        <f t="shared" si="4"/>
        <v/>
      </c>
      <c r="K59" s="81"/>
      <c r="L59" s="362"/>
      <c r="M59" s="256" t="str">
        <f t="shared" si="6"/>
        <v/>
      </c>
      <c r="N59" s="184" t="str">
        <f>IF(OR(ISBLANK($D59),ISBLANK($K59),ISBLANK($L59)),"",IF($L59="0–9 km",0,IF(LEFT($D59,18)="Long-term teaching",VLOOKUP($K59,Subsistence,2,0)*14+VLOOKUP($K59,Subsistence,3,0)*46+VLOOKUP($K59,Subsistence,4,0)*($F59-60),IF(LEFT($D59,18)="Short-term joint s",IF($F59&lt;15,Ceilings!$S$3*$F59,Ceilings!$S$3*14+Ceilings!$S$4*($F59-14)),IF($F59&lt;15,Ceilings!$S$6*$F59,Ceilings!$S$6*14+Ceilings!$S$7*($F59-14))))))</f>
        <v/>
      </c>
      <c r="O59" s="185" t="str">
        <f>IF(OR(ISBLANK(D59),ISBLANK(H59),ISBLANK(K59),ISBLANK(L59)),"",IF(L59="0–9 km",0,IF(I59&lt;15,Ceilings!$S$3*I59,Ceilings!$S$3*14+Ceilings!$S$4*(I59-14))))</f>
        <v/>
      </c>
      <c r="P59" s="183" t="str">
        <f t="shared" si="5"/>
        <v/>
      </c>
      <c r="Q59" s="436"/>
      <c r="R59" s="266" t="str">
        <f>IF(OR(ISBLANK($D59),ISBLANK($K59),ISBLANK(Q59)),"",Ceilings!$V$3*Q59)</f>
        <v/>
      </c>
      <c r="S59" s="72" t="str">
        <f t="shared" si="7"/>
        <v/>
      </c>
    </row>
    <row r="60" spans="1:19" ht="15.75" customHeight="1">
      <c r="A60" s="506"/>
      <c r="B60" s="51" t="str">
        <f>IF(ISBLANK(A60),"",VLOOKUP(A60,Management!$A$11:$C$25,2,0))</f>
        <v/>
      </c>
      <c r="C60" s="433"/>
      <c r="D60" s="421"/>
      <c r="E60" s="433"/>
      <c r="F60" s="434"/>
      <c r="G60" s="95" t="str">
        <f t="shared" si="3"/>
        <v/>
      </c>
      <c r="H60" s="435"/>
      <c r="I60" s="434"/>
      <c r="J60" s="95" t="str">
        <f t="shared" si="4"/>
        <v/>
      </c>
      <c r="K60" s="81"/>
      <c r="L60" s="362"/>
      <c r="M60" s="256" t="str">
        <f t="shared" si="6"/>
        <v/>
      </c>
      <c r="N60" s="184" t="str">
        <f>IF(OR(ISBLANK($D60),ISBLANK($K60),ISBLANK($L60)),"",IF($L60="0–9 km",0,IF(LEFT($D60,18)="Long-term teaching",VLOOKUP($K60,Subsistence,2,0)*14+VLOOKUP($K60,Subsistence,3,0)*46+VLOOKUP($K60,Subsistence,4,0)*($F60-60),IF(LEFT($D60,18)="Short-term joint s",IF($F60&lt;15,Ceilings!$S$3*$F60,Ceilings!$S$3*14+Ceilings!$S$4*($F60-14)),IF($F60&lt;15,Ceilings!$S$6*$F60,Ceilings!$S$6*14+Ceilings!$S$7*($F60-14))))))</f>
        <v/>
      </c>
      <c r="O60" s="185" t="str">
        <f>IF(OR(ISBLANK(D60),ISBLANK(H60),ISBLANK(K60),ISBLANK(L60)),"",IF(L60="0–9 km",0,IF(I60&lt;15,Ceilings!$S$3*I60,Ceilings!$S$3*14+Ceilings!$S$4*(I60-14))))</f>
        <v/>
      </c>
      <c r="P60" s="183" t="str">
        <f t="shared" si="5"/>
        <v/>
      </c>
      <c r="Q60" s="436"/>
      <c r="R60" s="266" t="str">
        <f>IF(OR(ISBLANK($D60),ISBLANK($K60),ISBLANK(Q60)),"",Ceilings!$V$3*Q60)</f>
        <v/>
      </c>
      <c r="S60" s="72" t="str">
        <f t="shared" si="7"/>
        <v/>
      </c>
    </row>
    <row r="61" spans="1:19" ht="15.75" customHeight="1">
      <c r="A61" s="506"/>
      <c r="B61" s="51" t="str">
        <f>IF(ISBLANK(A61),"",VLOOKUP(A61,Management!$A$11:$C$25,2,0))</f>
        <v/>
      </c>
      <c r="C61" s="433"/>
      <c r="D61" s="421"/>
      <c r="E61" s="433"/>
      <c r="F61" s="434"/>
      <c r="G61" s="95" t="str">
        <f t="shared" si="3"/>
        <v/>
      </c>
      <c r="H61" s="435"/>
      <c r="I61" s="434"/>
      <c r="J61" s="95" t="str">
        <f t="shared" si="4"/>
        <v/>
      </c>
      <c r="K61" s="81"/>
      <c r="L61" s="362"/>
      <c r="M61" s="256" t="str">
        <f t="shared" si="6"/>
        <v/>
      </c>
      <c r="N61" s="184" t="str">
        <f>IF(OR(ISBLANK($D61),ISBLANK($K61),ISBLANK($L61)),"",IF($L61="0–9 km",0,IF(LEFT($D61,18)="Long-term teaching",VLOOKUP($K61,Subsistence,2,0)*14+VLOOKUP($K61,Subsistence,3,0)*46+VLOOKUP($K61,Subsistence,4,0)*($F61-60),IF(LEFT($D61,18)="Short-term joint s",IF($F61&lt;15,Ceilings!$S$3*$F61,Ceilings!$S$3*14+Ceilings!$S$4*($F61-14)),IF($F61&lt;15,Ceilings!$S$6*$F61,Ceilings!$S$6*14+Ceilings!$S$7*($F61-14))))))</f>
        <v/>
      </c>
      <c r="O61" s="185" t="str">
        <f>IF(OR(ISBLANK(D61),ISBLANK(H61),ISBLANK(K61),ISBLANK(L61)),"",IF(L61="0–9 km",0,IF(I61&lt;15,Ceilings!$S$3*I61,Ceilings!$S$3*14+Ceilings!$S$4*(I61-14))))</f>
        <v/>
      </c>
      <c r="P61" s="183" t="str">
        <f t="shared" si="5"/>
        <v/>
      </c>
      <c r="Q61" s="436"/>
      <c r="R61" s="266" t="str">
        <f>IF(OR(ISBLANK($D61),ISBLANK($K61),ISBLANK(Q61)),"",Ceilings!$V$3*Q61)</f>
        <v/>
      </c>
      <c r="S61" s="72" t="str">
        <f t="shared" si="7"/>
        <v/>
      </c>
    </row>
    <row r="62" spans="1:19" ht="15.75" customHeight="1">
      <c r="A62" s="506"/>
      <c r="B62" s="51" t="str">
        <f>IF(ISBLANK(A62),"",VLOOKUP(A62,Management!$A$11:$C$25,2,0))</f>
        <v/>
      </c>
      <c r="C62" s="433"/>
      <c r="D62" s="421"/>
      <c r="E62" s="433"/>
      <c r="F62" s="434"/>
      <c r="G62" s="95" t="str">
        <f t="shared" si="3"/>
        <v/>
      </c>
      <c r="H62" s="435"/>
      <c r="I62" s="434"/>
      <c r="J62" s="95" t="str">
        <f t="shared" si="4"/>
        <v/>
      </c>
      <c r="K62" s="81"/>
      <c r="L62" s="362"/>
      <c r="M62" s="256" t="str">
        <f t="shared" si="6"/>
        <v/>
      </c>
      <c r="N62" s="184" t="str">
        <f>IF(OR(ISBLANK($D62),ISBLANK($K62),ISBLANK($L62)),"",IF($L62="0–9 km",0,IF(LEFT($D62,18)="Long-term teaching",VLOOKUP($K62,Subsistence,2,0)*14+VLOOKUP($K62,Subsistence,3,0)*46+VLOOKUP($K62,Subsistence,4,0)*($F62-60),IF(LEFT($D62,18)="Short-term joint s",IF($F62&lt;15,Ceilings!$S$3*$F62,Ceilings!$S$3*14+Ceilings!$S$4*($F62-14)),IF($F62&lt;15,Ceilings!$S$6*$F62,Ceilings!$S$6*14+Ceilings!$S$7*($F62-14))))))</f>
        <v/>
      </c>
      <c r="O62" s="185" t="str">
        <f>IF(OR(ISBLANK(D62),ISBLANK(H62),ISBLANK(K62),ISBLANK(L62)),"",IF(L62="0–9 km",0,IF(I62&lt;15,Ceilings!$S$3*I62,Ceilings!$S$3*14+Ceilings!$S$4*(I62-14))))</f>
        <v/>
      </c>
      <c r="P62" s="183" t="str">
        <f t="shared" si="5"/>
        <v/>
      </c>
      <c r="Q62" s="436"/>
      <c r="R62" s="266" t="str">
        <f>IF(OR(ISBLANK($D62),ISBLANK($K62),ISBLANK(Q62)),"",Ceilings!$V$3*Q62)</f>
        <v/>
      </c>
      <c r="S62" s="72" t="str">
        <f t="shared" si="7"/>
        <v/>
      </c>
    </row>
    <row r="63" spans="1:19" ht="15.75" customHeight="1">
      <c r="A63" s="506"/>
      <c r="B63" s="51" t="str">
        <f>IF(ISBLANK(A63),"",VLOOKUP(A63,Management!$A$11:$C$25,2,0))</f>
        <v/>
      </c>
      <c r="C63" s="433"/>
      <c r="D63" s="421"/>
      <c r="E63" s="433"/>
      <c r="F63" s="434"/>
      <c r="G63" s="95" t="str">
        <f t="shared" si="3"/>
        <v/>
      </c>
      <c r="H63" s="435"/>
      <c r="I63" s="434"/>
      <c r="J63" s="95" t="str">
        <f t="shared" si="4"/>
        <v/>
      </c>
      <c r="K63" s="81"/>
      <c r="L63" s="362"/>
      <c r="M63" s="256" t="str">
        <f t="shared" si="6"/>
        <v/>
      </c>
      <c r="N63" s="184" t="str">
        <f>IF(OR(ISBLANK($D63),ISBLANK($K63),ISBLANK($L63)),"",IF($L63="0–9 km",0,IF(LEFT($D63,18)="Long-term teaching",VLOOKUP($K63,Subsistence,2,0)*14+VLOOKUP($K63,Subsistence,3,0)*46+VLOOKUP($K63,Subsistence,4,0)*($F63-60),IF(LEFT($D63,18)="Short-term joint s",IF($F63&lt;15,Ceilings!$S$3*$F63,Ceilings!$S$3*14+Ceilings!$S$4*($F63-14)),IF($F63&lt;15,Ceilings!$S$6*$F63,Ceilings!$S$6*14+Ceilings!$S$7*($F63-14))))))</f>
        <v/>
      </c>
      <c r="O63" s="185" t="str">
        <f>IF(OR(ISBLANK(D63),ISBLANK(H63),ISBLANK(K63),ISBLANK(L63)),"",IF(L63="0–9 km",0,IF(I63&lt;15,Ceilings!$S$3*I63,Ceilings!$S$3*14+Ceilings!$S$4*(I63-14))))</f>
        <v/>
      </c>
      <c r="P63" s="183" t="str">
        <f t="shared" si="5"/>
        <v/>
      </c>
      <c r="Q63" s="436"/>
      <c r="R63" s="266" t="str">
        <f>IF(OR(ISBLANK($D63),ISBLANK($K63),ISBLANK(Q63)),"",Ceilings!$V$3*Q63)</f>
        <v/>
      </c>
      <c r="S63" s="72" t="str">
        <f t="shared" si="7"/>
        <v/>
      </c>
    </row>
    <row r="64" spans="1:19" ht="15.75" customHeight="1">
      <c r="A64" s="506"/>
      <c r="B64" s="51" t="str">
        <f>IF(ISBLANK(A64),"",VLOOKUP(A64,Management!$A$11:$C$25,2,0))</f>
        <v/>
      </c>
      <c r="C64" s="433"/>
      <c r="D64" s="421"/>
      <c r="E64" s="433"/>
      <c r="F64" s="434"/>
      <c r="G64" s="95" t="str">
        <f t="shared" si="3"/>
        <v/>
      </c>
      <c r="H64" s="435"/>
      <c r="I64" s="434"/>
      <c r="J64" s="95" t="str">
        <f t="shared" si="4"/>
        <v/>
      </c>
      <c r="K64" s="81"/>
      <c r="L64" s="362"/>
      <c r="M64" s="256" t="str">
        <f t="shared" si="6"/>
        <v/>
      </c>
      <c r="N64" s="184" t="str">
        <f>IF(OR(ISBLANK($D64),ISBLANK($K64),ISBLANK($L64)),"",IF($L64="0–9 km",0,IF(LEFT($D64,18)="Long-term teaching",VLOOKUP($K64,Subsistence,2,0)*14+VLOOKUP($K64,Subsistence,3,0)*46+VLOOKUP($K64,Subsistence,4,0)*($F64-60),IF(LEFT($D64,18)="Short-term joint s",IF($F64&lt;15,Ceilings!$S$3*$F64,Ceilings!$S$3*14+Ceilings!$S$4*($F64-14)),IF($F64&lt;15,Ceilings!$S$6*$F64,Ceilings!$S$6*14+Ceilings!$S$7*($F64-14))))))</f>
        <v/>
      </c>
      <c r="O64" s="185" t="str">
        <f>IF(OR(ISBLANK(D64),ISBLANK(H64),ISBLANK(K64),ISBLANK(L64)),"",IF(L64="0–9 km",0,IF(I64&lt;15,Ceilings!$S$3*I64,Ceilings!$S$3*14+Ceilings!$S$4*(I64-14))))</f>
        <v/>
      </c>
      <c r="P64" s="183" t="str">
        <f t="shared" si="5"/>
        <v/>
      </c>
      <c r="Q64" s="436"/>
      <c r="R64" s="266" t="str">
        <f>IF(OR(ISBLANK($D64),ISBLANK($K64),ISBLANK(Q64)),"",Ceilings!$V$3*Q64)</f>
        <v/>
      </c>
      <c r="S64" s="72" t="str">
        <f t="shared" si="7"/>
        <v/>
      </c>
    </row>
    <row r="65" spans="1:19" ht="15.75" customHeight="1">
      <c r="A65" s="506"/>
      <c r="B65" s="51" t="str">
        <f>IF(ISBLANK(A65),"",VLOOKUP(A65,Management!$A$11:$C$25,2,0))</f>
        <v/>
      </c>
      <c r="C65" s="433"/>
      <c r="D65" s="421"/>
      <c r="E65" s="433"/>
      <c r="F65" s="434"/>
      <c r="G65" s="95" t="str">
        <f t="shared" si="3"/>
        <v/>
      </c>
      <c r="H65" s="435"/>
      <c r="I65" s="434"/>
      <c r="J65" s="95" t="str">
        <f t="shared" si="4"/>
        <v/>
      </c>
      <c r="K65" s="81"/>
      <c r="L65" s="362"/>
      <c r="M65" s="256" t="str">
        <f t="shared" si="6"/>
        <v/>
      </c>
      <c r="N65" s="184" t="str">
        <f>IF(OR(ISBLANK($D65),ISBLANK($K65),ISBLANK($L65)),"",IF($L65="0–9 km",0,IF(LEFT($D65,18)="Long-term teaching",VLOOKUP($K65,Subsistence,2,0)*14+VLOOKUP($K65,Subsistence,3,0)*46+VLOOKUP($K65,Subsistence,4,0)*($F65-60),IF(LEFT($D65,18)="Short-term joint s",IF($F65&lt;15,Ceilings!$S$3*$F65,Ceilings!$S$3*14+Ceilings!$S$4*($F65-14)),IF($F65&lt;15,Ceilings!$S$6*$F65,Ceilings!$S$6*14+Ceilings!$S$7*($F65-14))))))</f>
        <v/>
      </c>
      <c r="O65" s="185" t="str">
        <f>IF(OR(ISBLANK(D65),ISBLANK(H65),ISBLANK(K65),ISBLANK(L65)),"",IF(L65="0–9 km",0,IF(I65&lt;15,Ceilings!$S$3*I65,Ceilings!$S$3*14+Ceilings!$S$4*(I65-14))))</f>
        <v/>
      </c>
      <c r="P65" s="183" t="str">
        <f t="shared" si="5"/>
        <v/>
      </c>
      <c r="Q65" s="436"/>
      <c r="R65" s="266" t="str">
        <f>IF(OR(ISBLANK($D65),ISBLANK($K65),ISBLANK(Q65)),"",Ceilings!$V$3*Q65)</f>
        <v/>
      </c>
      <c r="S65" s="72" t="str">
        <f t="shared" si="7"/>
        <v/>
      </c>
    </row>
    <row r="66" spans="1:19" ht="15.75" customHeight="1">
      <c r="A66" s="506"/>
      <c r="B66" s="51" t="str">
        <f>IF(ISBLANK(A66),"",VLOOKUP(A66,Management!$A$11:$C$25,2,0))</f>
        <v/>
      </c>
      <c r="C66" s="433"/>
      <c r="D66" s="421"/>
      <c r="E66" s="433"/>
      <c r="F66" s="434"/>
      <c r="G66" s="95" t="str">
        <f t="shared" si="3"/>
        <v/>
      </c>
      <c r="H66" s="435"/>
      <c r="I66" s="434"/>
      <c r="J66" s="95" t="str">
        <f t="shared" si="4"/>
        <v/>
      </c>
      <c r="K66" s="81"/>
      <c r="L66" s="362"/>
      <c r="M66" s="256" t="str">
        <f t="shared" si="6"/>
        <v/>
      </c>
      <c r="N66" s="184" t="str">
        <f>IF(OR(ISBLANK($D66),ISBLANK($K66),ISBLANK($L66)),"",IF($L66="0–9 km",0,IF(LEFT($D66,18)="Long-term teaching",VLOOKUP($K66,Subsistence,2,0)*14+VLOOKUP($K66,Subsistence,3,0)*46+VLOOKUP($K66,Subsistence,4,0)*($F66-60),IF(LEFT($D66,18)="Short-term joint s",IF($F66&lt;15,Ceilings!$S$3*$F66,Ceilings!$S$3*14+Ceilings!$S$4*($F66-14)),IF($F66&lt;15,Ceilings!$S$6*$F66,Ceilings!$S$6*14+Ceilings!$S$7*($F66-14))))))</f>
        <v/>
      </c>
      <c r="O66" s="185" t="str">
        <f>IF(OR(ISBLANK(D66),ISBLANK(H66),ISBLANK(K66),ISBLANK(L66)),"",IF(L66="0–9 km",0,IF(I66&lt;15,Ceilings!$S$3*I66,Ceilings!$S$3*14+Ceilings!$S$4*(I66-14))))</f>
        <v/>
      </c>
      <c r="P66" s="183" t="str">
        <f t="shared" si="5"/>
        <v/>
      </c>
      <c r="Q66" s="436"/>
      <c r="R66" s="266" t="str">
        <f>IF(OR(ISBLANK($D66),ISBLANK($K66),ISBLANK(Q66)),"",Ceilings!$V$3*Q66)</f>
        <v/>
      </c>
      <c r="S66" s="72" t="str">
        <f t="shared" si="7"/>
        <v/>
      </c>
    </row>
    <row r="67" spans="1:19" ht="15.75" customHeight="1">
      <c r="A67" s="506"/>
      <c r="B67" s="51" t="str">
        <f>IF(ISBLANK(A67),"",VLOOKUP(A67,Management!$A$11:$C$25,2,0))</f>
        <v/>
      </c>
      <c r="C67" s="433"/>
      <c r="D67" s="421"/>
      <c r="E67" s="433"/>
      <c r="F67" s="434"/>
      <c r="G67" s="95" t="str">
        <f t="shared" si="3"/>
        <v/>
      </c>
      <c r="H67" s="435"/>
      <c r="I67" s="434"/>
      <c r="J67" s="95" t="str">
        <f t="shared" si="4"/>
        <v/>
      </c>
      <c r="K67" s="81"/>
      <c r="L67" s="362"/>
      <c r="M67" s="256" t="str">
        <f t="shared" si="6"/>
        <v/>
      </c>
      <c r="N67" s="184" t="str">
        <f>IF(OR(ISBLANK($D67),ISBLANK($K67),ISBLANK($L67)),"",IF($L67="0–9 km",0,IF(LEFT($D67,18)="Long-term teaching",VLOOKUP($K67,Subsistence,2,0)*14+VLOOKUP($K67,Subsistence,3,0)*46+VLOOKUP($K67,Subsistence,4,0)*($F67-60),IF(LEFT($D67,18)="Short-term joint s",IF($F67&lt;15,Ceilings!$S$3*$F67,Ceilings!$S$3*14+Ceilings!$S$4*($F67-14)),IF($F67&lt;15,Ceilings!$S$6*$F67,Ceilings!$S$6*14+Ceilings!$S$7*($F67-14))))))</f>
        <v/>
      </c>
      <c r="O67" s="185" t="str">
        <f>IF(OR(ISBLANK(D67),ISBLANK(H67),ISBLANK(K67),ISBLANK(L67)),"",IF(L67="0–9 km",0,IF(I67&lt;15,Ceilings!$S$3*I67,Ceilings!$S$3*14+Ceilings!$S$4*(I67-14))))</f>
        <v/>
      </c>
      <c r="P67" s="183" t="str">
        <f t="shared" si="5"/>
        <v/>
      </c>
      <c r="Q67" s="436"/>
      <c r="R67" s="266" t="str">
        <f>IF(OR(ISBLANK($D67),ISBLANK($K67),ISBLANK(Q67)),"",Ceilings!$V$3*Q67)</f>
        <v/>
      </c>
      <c r="S67" s="72" t="str">
        <f t="shared" si="7"/>
        <v/>
      </c>
    </row>
    <row r="68" spans="1:19" ht="15.75" customHeight="1">
      <c r="A68" s="506"/>
      <c r="B68" s="51" t="str">
        <f>IF(ISBLANK(A68),"",VLOOKUP(A68,Management!$A$11:$C$25,2,0))</f>
        <v/>
      </c>
      <c r="C68" s="433"/>
      <c r="D68" s="421"/>
      <c r="E68" s="433"/>
      <c r="F68" s="434"/>
      <c r="G68" s="95" t="str">
        <f t="shared" si="3"/>
        <v/>
      </c>
      <c r="H68" s="435"/>
      <c r="I68" s="434"/>
      <c r="J68" s="95" t="str">
        <f t="shared" si="4"/>
        <v/>
      </c>
      <c r="K68" s="81"/>
      <c r="L68" s="362"/>
      <c r="M68" s="256" t="str">
        <f t="shared" si="6"/>
        <v/>
      </c>
      <c r="N68" s="184" t="str">
        <f>IF(OR(ISBLANK($D68),ISBLANK($K68),ISBLANK($L68)),"",IF($L68="0–9 km",0,IF(LEFT($D68,18)="Long-term teaching",VLOOKUP($K68,Subsistence,2,0)*14+VLOOKUP($K68,Subsistence,3,0)*46+VLOOKUP($K68,Subsistence,4,0)*($F68-60),IF(LEFT($D68,18)="Short-term joint s",IF($F68&lt;15,Ceilings!$S$3*$F68,Ceilings!$S$3*14+Ceilings!$S$4*($F68-14)),IF($F68&lt;15,Ceilings!$S$6*$F68,Ceilings!$S$6*14+Ceilings!$S$7*($F68-14))))))</f>
        <v/>
      </c>
      <c r="O68" s="185" t="str">
        <f>IF(OR(ISBLANK(D68),ISBLANK(H68),ISBLANK(K68),ISBLANK(L68)),"",IF(L68="0–9 km",0,IF(I68&lt;15,Ceilings!$S$3*I68,Ceilings!$S$3*14+Ceilings!$S$4*(I68-14))))</f>
        <v/>
      </c>
      <c r="P68" s="183" t="str">
        <f t="shared" si="5"/>
        <v/>
      </c>
      <c r="Q68" s="436"/>
      <c r="R68" s="266" t="str">
        <f>IF(OR(ISBLANK($D68),ISBLANK($K68),ISBLANK(Q68)),"",Ceilings!$V$3*Q68)</f>
        <v/>
      </c>
      <c r="S68" s="72" t="str">
        <f t="shared" si="7"/>
        <v/>
      </c>
    </row>
    <row r="69" spans="1:19" ht="15.75" customHeight="1">
      <c r="A69" s="506"/>
      <c r="B69" s="51" t="str">
        <f>IF(ISBLANK(A69),"",VLOOKUP(A69,Management!$A$11:$C$25,2,0))</f>
        <v/>
      </c>
      <c r="C69" s="433"/>
      <c r="D69" s="421"/>
      <c r="E69" s="433"/>
      <c r="F69" s="434"/>
      <c r="G69" s="95" t="str">
        <f t="shared" si="3"/>
        <v/>
      </c>
      <c r="H69" s="435"/>
      <c r="I69" s="434"/>
      <c r="J69" s="95" t="str">
        <f t="shared" si="4"/>
        <v/>
      </c>
      <c r="K69" s="81"/>
      <c r="L69" s="362"/>
      <c r="M69" s="256" t="str">
        <f t="shared" si="6"/>
        <v/>
      </c>
      <c r="N69" s="184" t="str">
        <f>IF(OR(ISBLANK($D69),ISBLANK($K69),ISBLANK($L69)),"",IF($L69="0–9 km",0,IF(LEFT($D69,18)="Long-term teaching",VLOOKUP($K69,Subsistence,2,0)*14+VLOOKUP($K69,Subsistence,3,0)*46+VLOOKUP($K69,Subsistence,4,0)*($F69-60),IF(LEFT($D69,18)="Short-term joint s",IF($F69&lt;15,Ceilings!$S$3*$F69,Ceilings!$S$3*14+Ceilings!$S$4*($F69-14)),IF($F69&lt;15,Ceilings!$S$6*$F69,Ceilings!$S$6*14+Ceilings!$S$7*($F69-14))))))</f>
        <v/>
      </c>
      <c r="O69" s="185" t="str">
        <f>IF(OR(ISBLANK(D69),ISBLANK(H69),ISBLANK(K69),ISBLANK(L69)),"",IF(L69="0–9 km",0,IF(I69&lt;15,Ceilings!$S$3*I69,Ceilings!$S$3*14+Ceilings!$S$4*(I69-14))))</f>
        <v/>
      </c>
      <c r="P69" s="183" t="str">
        <f t="shared" si="5"/>
        <v/>
      </c>
      <c r="Q69" s="436"/>
      <c r="R69" s="266" t="str">
        <f>IF(OR(ISBLANK($D69),ISBLANK($K69),ISBLANK(Q69)),"",Ceilings!$V$3*Q69)</f>
        <v/>
      </c>
      <c r="S69" s="72" t="str">
        <f t="shared" si="7"/>
        <v/>
      </c>
    </row>
    <row r="70" spans="1:19" ht="15.75" customHeight="1">
      <c r="A70" s="506"/>
      <c r="B70" s="51" t="str">
        <f>IF(ISBLANK(A70),"",VLOOKUP(A70,Management!$A$11:$C$25,2,0))</f>
        <v/>
      </c>
      <c r="C70" s="433"/>
      <c r="D70" s="421"/>
      <c r="E70" s="433"/>
      <c r="F70" s="434"/>
      <c r="G70" s="95" t="str">
        <f t="shared" si="3"/>
        <v/>
      </c>
      <c r="H70" s="435"/>
      <c r="I70" s="434"/>
      <c r="J70" s="95" t="str">
        <f t="shared" si="4"/>
        <v/>
      </c>
      <c r="K70" s="81"/>
      <c r="L70" s="362"/>
      <c r="M70" s="256" t="str">
        <f t="shared" si="6"/>
        <v/>
      </c>
      <c r="N70" s="184" t="str">
        <f>IF(OR(ISBLANK($D70),ISBLANK($K70),ISBLANK($L70)),"",IF($L70="0–9 km",0,IF(LEFT($D70,18)="Long-term teaching",VLOOKUP($K70,Subsistence,2,0)*14+VLOOKUP($K70,Subsistence,3,0)*46+VLOOKUP($K70,Subsistence,4,0)*($F70-60),IF(LEFT($D70,18)="Short-term joint s",IF($F70&lt;15,Ceilings!$S$3*$F70,Ceilings!$S$3*14+Ceilings!$S$4*($F70-14)),IF($F70&lt;15,Ceilings!$S$6*$F70,Ceilings!$S$6*14+Ceilings!$S$7*($F70-14))))))</f>
        <v/>
      </c>
      <c r="O70" s="185" t="str">
        <f>IF(OR(ISBLANK(D70),ISBLANK(H70),ISBLANK(K70),ISBLANK(L70)),"",IF(L70="0–9 km",0,IF(I70&lt;15,Ceilings!$S$3*I70,Ceilings!$S$3*14+Ceilings!$S$4*(I70-14))))</f>
        <v/>
      </c>
      <c r="P70" s="183" t="str">
        <f t="shared" si="5"/>
        <v/>
      </c>
      <c r="Q70" s="436"/>
      <c r="R70" s="266" t="str">
        <f>IF(OR(ISBLANK($D70),ISBLANK($K70),ISBLANK(Q70)),"",Ceilings!$V$3*Q70)</f>
        <v/>
      </c>
      <c r="S70" s="72" t="str">
        <f t="shared" si="7"/>
        <v/>
      </c>
    </row>
    <row r="71" spans="1:19" ht="15.75" customHeight="1">
      <c r="A71" s="506"/>
      <c r="B71" s="51" t="str">
        <f>IF(ISBLANK(A71),"",VLOOKUP(A71,Management!$A$11:$C$25,2,0))</f>
        <v/>
      </c>
      <c r="C71" s="433"/>
      <c r="D71" s="421"/>
      <c r="E71" s="433"/>
      <c r="F71" s="434"/>
      <c r="G71" s="95" t="str">
        <f t="shared" si="3"/>
        <v/>
      </c>
      <c r="H71" s="435"/>
      <c r="I71" s="434"/>
      <c r="J71" s="95" t="str">
        <f t="shared" si="4"/>
        <v/>
      </c>
      <c r="K71" s="81"/>
      <c r="L71" s="362"/>
      <c r="M71" s="256" t="str">
        <f t="shared" ref="M71:M102" si="8">IF(ISBLANK(L71),"",(E71+H71)*VLOOKUP(L71,TravelGrant,2,0))</f>
        <v/>
      </c>
      <c r="N71" s="184" t="str">
        <f>IF(OR(ISBLANK($D71),ISBLANK($K71),ISBLANK($L71)),"",IF($L71="0–9 km",0,IF(LEFT($D71,18)="Long-term teaching",VLOOKUP($K71,Subsistence,2,0)*14+VLOOKUP($K71,Subsistence,3,0)*46+VLOOKUP($K71,Subsistence,4,0)*($F71-60),IF(LEFT($D71,18)="Short-term joint s",IF($F71&lt;15,Ceilings!$S$3*$F71,Ceilings!$S$3*14+Ceilings!$S$4*($F71-14)),IF($F71&lt;15,Ceilings!$S$6*$F71,Ceilings!$S$6*14+Ceilings!$S$7*($F71-14))))))</f>
        <v/>
      </c>
      <c r="O71" s="185" t="str">
        <f>IF(OR(ISBLANK(D71),ISBLANK(H71),ISBLANK(K71),ISBLANK(L71)),"",IF(L71="0–9 km",0,IF(I71&lt;15,Ceilings!$S$3*I71,Ceilings!$S$3*14+Ceilings!$S$4*(I71-14))))</f>
        <v/>
      </c>
      <c r="P71" s="183" t="str">
        <f t="shared" si="5"/>
        <v/>
      </c>
      <c r="Q71" s="436"/>
      <c r="R71" s="266" t="str">
        <f>IF(OR(ISBLANK($D71),ISBLANK($K71),ISBLANK(Q71)),"",Ceilings!$V$3*Q71)</f>
        <v/>
      </c>
      <c r="S71" s="72" t="str">
        <f t="shared" ref="S71:S106" si="9">IF(ISBLANK($A71),"",IF(OR(ISBLANK($C71),ISBLANK($D71),ISBLANK($E71),ISBLANK($K71)),"Missing data",SUM($M71,$P71,$R71)))</f>
        <v/>
      </c>
    </row>
    <row r="72" spans="1:19" ht="15.75" customHeight="1">
      <c r="A72" s="506"/>
      <c r="B72" s="51" t="str">
        <f>IF(ISBLANK(A72),"",VLOOKUP(A72,Management!$A$11:$C$25,2,0))</f>
        <v/>
      </c>
      <c r="C72" s="433"/>
      <c r="D72" s="421"/>
      <c r="E72" s="433"/>
      <c r="F72" s="434"/>
      <c r="G72" s="95" t="str">
        <f t="shared" si="3"/>
        <v/>
      </c>
      <c r="H72" s="435"/>
      <c r="I72" s="434"/>
      <c r="J72" s="95" t="str">
        <f t="shared" si="4"/>
        <v/>
      </c>
      <c r="K72" s="81"/>
      <c r="L72" s="362"/>
      <c r="M72" s="256" t="str">
        <f t="shared" si="8"/>
        <v/>
      </c>
      <c r="N72" s="184" t="str">
        <f>IF(OR(ISBLANK($D72),ISBLANK($K72),ISBLANK($L72)),"",IF($L72="0–9 km",0,IF(LEFT($D72,18)="Long-term teaching",VLOOKUP($K72,Subsistence,2,0)*14+VLOOKUP($K72,Subsistence,3,0)*46+VLOOKUP($K72,Subsistence,4,0)*($F72-60),IF(LEFT($D72,18)="Short-term joint s",IF($F72&lt;15,Ceilings!$S$3*$F72,Ceilings!$S$3*14+Ceilings!$S$4*($F72-14)),IF($F72&lt;15,Ceilings!$S$6*$F72,Ceilings!$S$6*14+Ceilings!$S$7*($F72-14))))))</f>
        <v/>
      </c>
      <c r="O72" s="185" t="str">
        <f>IF(OR(ISBLANK(D72),ISBLANK(H72),ISBLANK(K72),ISBLANK(L72)),"",IF(L72="0–9 km",0,IF(I72&lt;15,Ceilings!$S$3*I72,Ceilings!$S$3*14+Ceilings!$S$4*(I72-14))))</f>
        <v/>
      </c>
      <c r="P72" s="183" t="str">
        <f t="shared" si="5"/>
        <v/>
      </c>
      <c r="Q72" s="436"/>
      <c r="R72" s="266" t="str">
        <f>IF(OR(ISBLANK($D72),ISBLANK($K72),ISBLANK(Q72)),"",Ceilings!$V$3*Q72)</f>
        <v/>
      </c>
      <c r="S72" s="72" t="str">
        <f t="shared" si="9"/>
        <v/>
      </c>
    </row>
    <row r="73" spans="1:19" ht="15.75" customHeight="1">
      <c r="A73" s="506"/>
      <c r="B73" s="51" t="str">
        <f>IF(ISBLANK(A73),"",VLOOKUP(A73,Management!$A$11:$C$25,2,0))</f>
        <v/>
      </c>
      <c r="C73" s="433"/>
      <c r="D73" s="421"/>
      <c r="E73" s="433"/>
      <c r="F73" s="434"/>
      <c r="G73" s="95" t="str">
        <f t="shared" si="3"/>
        <v/>
      </c>
      <c r="H73" s="435"/>
      <c r="I73" s="434"/>
      <c r="J73" s="95" t="str">
        <f t="shared" si="4"/>
        <v/>
      </c>
      <c r="K73" s="81"/>
      <c r="L73" s="362"/>
      <c r="M73" s="256" t="str">
        <f t="shared" si="8"/>
        <v/>
      </c>
      <c r="N73" s="184" t="str">
        <f>IF(OR(ISBLANK($D73),ISBLANK($K73),ISBLANK($L73)),"",IF($L73="0–9 km",0,IF(LEFT($D73,18)="Long-term teaching",VLOOKUP($K73,Subsistence,2,0)*14+VLOOKUP($K73,Subsistence,3,0)*46+VLOOKUP($K73,Subsistence,4,0)*($F73-60),IF(LEFT($D73,18)="Short-term joint s",IF($F73&lt;15,Ceilings!$S$3*$F73,Ceilings!$S$3*14+Ceilings!$S$4*($F73-14)),IF($F73&lt;15,Ceilings!$S$6*$F73,Ceilings!$S$6*14+Ceilings!$S$7*($F73-14))))))</f>
        <v/>
      </c>
      <c r="O73" s="185" t="str">
        <f>IF(OR(ISBLANK(D73),ISBLANK(H73),ISBLANK(K73),ISBLANK(L73)),"",IF(L73="0–9 km",0,IF(I73&lt;15,Ceilings!$S$3*I73,Ceilings!$S$3*14+Ceilings!$S$4*(I73-14))))</f>
        <v/>
      </c>
      <c r="P73" s="183" t="str">
        <f t="shared" si="5"/>
        <v/>
      </c>
      <c r="Q73" s="436"/>
      <c r="R73" s="266" t="str">
        <f>IF(OR(ISBLANK($D73),ISBLANK($K73),ISBLANK(Q73)),"",Ceilings!$V$3*Q73)</f>
        <v/>
      </c>
      <c r="S73" s="72" t="str">
        <f t="shared" si="9"/>
        <v/>
      </c>
    </row>
    <row r="74" spans="1:19" ht="15.75" customHeight="1">
      <c r="A74" s="506"/>
      <c r="B74" s="51" t="str">
        <f>IF(ISBLANK(A74),"",VLOOKUP(A74,Management!$A$11:$C$25,2,0))</f>
        <v/>
      </c>
      <c r="C74" s="433"/>
      <c r="D74" s="421"/>
      <c r="E74" s="433"/>
      <c r="F74" s="434"/>
      <c r="G74" s="95" t="str">
        <f t="shared" si="3"/>
        <v/>
      </c>
      <c r="H74" s="435"/>
      <c r="I74" s="434"/>
      <c r="J74" s="95" t="str">
        <f t="shared" si="4"/>
        <v/>
      </c>
      <c r="K74" s="81"/>
      <c r="L74" s="362"/>
      <c r="M74" s="256" t="str">
        <f t="shared" si="8"/>
        <v/>
      </c>
      <c r="N74" s="184" t="str">
        <f>IF(OR(ISBLANK($D74),ISBLANK($K74),ISBLANK($L74)),"",IF($L74="0–9 km",0,IF(LEFT($D74,18)="Long-term teaching",VLOOKUP($K74,Subsistence,2,0)*14+VLOOKUP($K74,Subsistence,3,0)*46+VLOOKUP($K74,Subsistence,4,0)*($F74-60),IF(LEFT($D74,18)="Short-term joint s",IF($F74&lt;15,Ceilings!$S$3*$F74,Ceilings!$S$3*14+Ceilings!$S$4*($F74-14)),IF($F74&lt;15,Ceilings!$S$6*$F74,Ceilings!$S$6*14+Ceilings!$S$7*($F74-14))))))</f>
        <v/>
      </c>
      <c r="O74" s="185" t="str">
        <f>IF(OR(ISBLANK(D74),ISBLANK(H74),ISBLANK(K74),ISBLANK(L74)),"",IF(L74="0–9 km",0,IF(I74&lt;15,Ceilings!$S$3*I74,Ceilings!$S$3*14+Ceilings!$S$4*(I74-14))))</f>
        <v/>
      </c>
      <c r="P74" s="183" t="str">
        <f t="shared" si="5"/>
        <v/>
      </c>
      <c r="Q74" s="436"/>
      <c r="R74" s="266" t="str">
        <f>IF(OR(ISBLANK($D74),ISBLANK($K74),ISBLANK(Q74)),"",Ceilings!$V$3*Q74)</f>
        <v/>
      </c>
      <c r="S74" s="72" t="str">
        <f t="shared" si="9"/>
        <v/>
      </c>
    </row>
    <row r="75" spans="1:19" ht="15.75" customHeight="1">
      <c r="A75" s="506"/>
      <c r="B75" s="51" t="str">
        <f>IF(ISBLANK(A75),"",VLOOKUP(A75,Management!$A$11:$C$25,2,0))</f>
        <v/>
      </c>
      <c r="C75" s="433"/>
      <c r="D75" s="421"/>
      <c r="E75" s="433"/>
      <c r="F75" s="434"/>
      <c r="G75" s="95" t="str">
        <f t="shared" si="3"/>
        <v/>
      </c>
      <c r="H75" s="435"/>
      <c r="I75" s="434"/>
      <c r="J75" s="95" t="str">
        <f t="shared" si="4"/>
        <v/>
      </c>
      <c r="K75" s="81"/>
      <c r="L75" s="362"/>
      <c r="M75" s="256" t="str">
        <f t="shared" si="8"/>
        <v/>
      </c>
      <c r="N75" s="184" t="str">
        <f>IF(OR(ISBLANK($D75),ISBLANK($K75),ISBLANK($L75)),"",IF($L75="0–9 km",0,IF(LEFT($D75,18)="Long-term teaching",VLOOKUP($K75,Subsistence,2,0)*14+VLOOKUP($K75,Subsistence,3,0)*46+VLOOKUP($K75,Subsistence,4,0)*($F75-60),IF(LEFT($D75,18)="Short-term joint s",IF($F75&lt;15,Ceilings!$S$3*$F75,Ceilings!$S$3*14+Ceilings!$S$4*($F75-14)),IF($F75&lt;15,Ceilings!$S$6*$F75,Ceilings!$S$6*14+Ceilings!$S$7*($F75-14))))))</f>
        <v/>
      </c>
      <c r="O75" s="185" t="str">
        <f>IF(OR(ISBLANK(D75),ISBLANK(H75),ISBLANK(K75),ISBLANK(L75)),"",IF(L75="0–9 km",0,IF(I75&lt;15,Ceilings!$S$3*I75,Ceilings!$S$3*14+Ceilings!$S$4*(I75-14))))</f>
        <v/>
      </c>
      <c r="P75" s="183" t="str">
        <f t="shared" si="5"/>
        <v/>
      </c>
      <c r="Q75" s="436"/>
      <c r="R75" s="266" t="str">
        <f>IF(OR(ISBLANK($D75),ISBLANK($K75),ISBLANK(Q75)),"",Ceilings!$V$3*Q75)</f>
        <v/>
      </c>
      <c r="S75" s="72" t="str">
        <f t="shared" si="9"/>
        <v/>
      </c>
    </row>
    <row r="76" spans="1:19" ht="15.75" customHeight="1">
      <c r="A76" s="506"/>
      <c r="B76" s="51" t="str">
        <f>IF(ISBLANK(A76),"",VLOOKUP(A76,Management!$A$11:$C$25,2,0))</f>
        <v/>
      </c>
      <c r="C76" s="433"/>
      <c r="D76" s="421"/>
      <c r="E76" s="433"/>
      <c r="F76" s="434"/>
      <c r="G76" s="95" t="str">
        <f t="shared" si="3"/>
        <v/>
      </c>
      <c r="H76" s="435"/>
      <c r="I76" s="434"/>
      <c r="J76" s="95" t="str">
        <f t="shared" si="4"/>
        <v/>
      </c>
      <c r="K76" s="81"/>
      <c r="L76" s="362"/>
      <c r="M76" s="256" t="str">
        <f t="shared" si="8"/>
        <v/>
      </c>
      <c r="N76" s="184" t="str">
        <f>IF(OR(ISBLANK($D76),ISBLANK($K76),ISBLANK($L76)),"",IF($L76="0–9 km",0,IF(LEFT($D76,18)="Long-term teaching",VLOOKUP($K76,Subsistence,2,0)*14+VLOOKUP($K76,Subsistence,3,0)*46+VLOOKUP($K76,Subsistence,4,0)*($F76-60),IF(LEFT($D76,18)="Short-term joint s",IF($F76&lt;15,Ceilings!$S$3*$F76,Ceilings!$S$3*14+Ceilings!$S$4*($F76-14)),IF($F76&lt;15,Ceilings!$S$6*$F76,Ceilings!$S$6*14+Ceilings!$S$7*($F76-14))))))</f>
        <v/>
      </c>
      <c r="O76" s="185" t="str">
        <f>IF(OR(ISBLANK(D76),ISBLANK(H76),ISBLANK(K76),ISBLANK(L76)),"",IF(L76="0–9 km",0,IF(I76&lt;15,Ceilings!$S$3*I76,Ceilings!$S$3*14+Ceilings!$S$4*(I76-14))))</f>
        <v/>
      </c>
      <c r="P76" s="183" t="str">
        <f t="shared" si="5"/>
        <v/>
      </c>
      <c r="Q76" s="436"/>
      <c r="R76" s="266" t="str">
        <f>IF(OR(ISBLANK($D76),ISBLANK($K76),ISBLANK(Q76)),"",Ceilings!$V$3*Q76)</f>
        <v/>
      </c>
      <c r="S76" s="72" t="str">
        <f t="shared" si="9"/>
        <v/>
      </c>
    </row>
    <row r="77" spans="1:19" ht="15.75" customHeight="1">
      <c r="A77" s="506"/>
      <c r="B77" s="51" t="str">
        <f>IF(ISBLANK(A77),"",VLOOKUP(A77,Management!$A$11:$C$25,2,0))</f>
        <v/>
      </c>
      <c r="C77" s="433"/>
      <c r="D77" s="421"/>
      <c r="E77" s="433"/>
      <c r="F77" s="434"/>
      <c r="G77" s="95" t="str">
        <f t="shared" si="3"/>
        <v/>
      </c>
      <c r="H77" s="435"/>
      <c r="I77" s="434"/>
      <c r="J77" s="95" t="str">
        <f t="shared" si="4"/>
        <v/>
      </c>
      <c r="K77" s="81"/>
      <c r="L77" s="362"/>
      <c r="M77" s="256" t="str">
        <f t="shared" si="8"/>
        <v/>
      </c>
      <c r="N77" s="184" t="str">
        <f>IF(OR(ISBLANK($D77),ISBLANK($K77),ISBLANK($L77)),"",IF($L77="0–9 km",0,IF(LEFT($D77,18)="Long-term teaching",VLOOKUP($K77,Subsistence,2,0)*14+VLOOKUP($K77,Subsistence,3,0)*46+VLOOKUP($K77,Subsistence,4,0)*($F77-60),IF(LEFT($D77,18)="Short-term joint s",IF($F77&lt;15,Ceilings!$S$3*$F77,Ceilings!$S$3*14+Ceilings!$S$4*($F77-14)),IF($F77&lt;15,Ceilings!$S$6*$F77,Ceilings!$S$6*14+Ceilings!$S$7*($F77-14))))))</f>
        <v/>
      </c>
      <c r="O77" s="185" t="str">
        <f>IF(OR(ISBLANK(D77),ISBLANK(H77),ISBLANK(K77),ISBLANK(L77)),"",IF(L77="0–9 km",0,IF(I77&lt;15,Ceilings!$S$3*I77,Ceilings!$S$3*14+Ceilings!$S$4*(I77-14))))</f>
        <v/>
      </c>
      <c r="P77" s="183" t="str">
        <f t="shared" si="5"/>
        <v/>
      </c>
      <c r="Q77" s="436"/>
      <c r="R77" s="266" t="str">
        <f>IF(OR(ISBLANK($D77),ISBLANK($K77),ISBLANK(Q77)),"",Ceilings!$V$3*Q77)</f>
        <v/>
      </c>
      <c r="S77" s="72" t="str">
        <f t="shared" si="9"/>
        <v/>
      </c>
    </row>
    <row r="78" spans="1:19" ht="15.75" customHeight="1">
      <c r="A78" s="506"/>
      <c r="B78" s="51" t="str">
        <f>IF(ISBLANK(A78),"",VLOOKUP(A78,Management!$A$11:$C$25,2,0))</f>
        <v/>
      </c>
      <c r="C78" s="433"/>
      <c r="D78" s="421"/>
      <c r="E78" s="433"/>
      <c r="F78" s="434"/>
      <c r="G78" s="95" t="str">
        <f t="shared" si="3"/>
        <v/>
      </c>
      <c r="H78" s="435"/>
      <c r="I78" s="434"/>
      <c r="J78" s="95" t="str">
        <f t="shared" si="4"/>
        <v/>
      </c>
      <c r="K78" s="81"/>
      <c r="L78" s="362"/>
      <c r="M78" s="256" t="str">
        <f t="shared" si="8"/>
        <v/>
      </c>
      <c r="N78" s="184" t="str">
        <f>IF(OR(ISBLANK($D78),ISBLANK($K78),ISBLANK($L78)),"",IF($L78="0–9 km",0,IF(LEFT($D78,18)="Long-term teaching",VLOOKUP($K78,Subsistence,2,0)*14+VLOOKUP($K78,Subsistence,3,0)*46+VLOOKUP($K78,Subsistence,4,0)*($F78-60),IF(LEFT($D78,18)="Short-term joint s",IF($F78&lt;15,Ceilings!$S$3*$F78,Ceilings!$S$3*14+Ceilings!$S$4*($F78-14)),IF($F78&lt;15,Ceilings!$S$6*$F78,Ceilings!$S$6*14+Ceilings!$S$7*($F78-14))))))</f>
        <v/>
      </c>
      <c r="O78" s="185" t="str">
        <f>IF(OR(ISBLANK(D78),ISBLANK(H78),ISBLANK(K78),ISBLANK(L78)),"",IF(L78="0–9 km",0,IF(I78&lt;15,Ceilings!$S$3*I78,Ceilings!$S$3*14+Ceilings!$S$4*(I78-14))))</f>
        <v/>
      </c>
      <c r="P78" s="183" t="str">
        <f t="shared" ref="P78:P83" si="10">IF(N78="","",$E78*N78+IF(O78="",0,$H78*O78))</f>
        <v/>
      </c>
      <c r="Q78" s="436"/>
      <c r="R78" s="266" t="str">
        <f>IF(OR(ISBLANK($D78),ISBLANK($K78),ISBLANK(Q78)),"",Ceilings!$V$3*Q78)</f>
        <v/>
      </c>
      <c r="S78" s="72" t="str">
        <f t="shared" si="9"/>
        <v/>
      </c>
    </row>
    <row r="79" spans="1:19" ht="15.75" customHeight="1">
      <c r="A79" s="506"/>
      <c r="B79" s="51" t="str">
        <f>IF(ISBLANK(A79),"",VLOOKUP(A79,Management!$A$11:$C$25,2,0))</f>
        <v/>
      </c>
      <c r="C79" s="433"/>
      <c r="D79" s="421"/>
      <c r="E79" s="433"/>
      <c r="F79" s="434"/>
      <c r="G79" s="95" t="str">
        <f t="shared" si="3"/>
        <v/>
      </c>
      <c r="H79" s="435"/>
      <c r="I79" s="434"/>
      <c r="J79" s="95" t="str">
        <f t="shared" si="4"/>
        <v/>
      </c>
      <c r="K79" s="81"/>
      <c r="L79" s="362"/>
      <c r="M79" s="256" t="str">
        <f t="shared" si="8"/>
        <v/>
      </c>
      <c r="N79" s="184" t="str">
        <f>IF(OR(ISBLANK($D79),ISBLANK($K79),ISBLANK($L79)),"",IF($L79="0–9 km",0,IF(LEFT($D79,18)="Long-term teaching",VLOOKUP($K79,Subsistence,2,0)*14+VLOOKUP($K79,Subsistence,3,0)*46+VLOOKUP($K79,Subsistence,4,0)*($F79-60),IF(LEFT($D79,18)="Short-term joint s",IF($F79&lt;15,Ceilings!$S$3*$F79,Ceilings!$S$3*14+Ceilings!$S$4*($F79-14)),IF($F79&lt;15,Ceilings!$S$6*$F79,Ceilings!$S$6*14+Ceilings!$S$7*($F79-14))))))</f>
        <v/>
      </c>
      <c r="O79" s="185" t="str">
        <f>IF(OR(ISBLANK(D79),ISBLANK(H79),ISBLANK(K79),ISBLANK(L79)),"",IF(L79="0–9 km",0,IF(I79&lt;15,Ceilings!$S$3*I79,Ceilings!$S$3*14+Ceilings!$S$4*(I79-14))))</f>
        <v/>
      </c>
      <c r="P79" s="183" t="str">
        <f t="shared" si="10"/>
        <v/>
      </c>
      <c r="Q79" s="436"/>
      <c r="R79" s="266" t="str">
        <f>IF(OR(ISBLANK($D79),ISBLANK($K79),ISBLANK(Q79)),"",Ceilings!$V$3*Q79)</f>
        <v/>
      </c>
      <c r="S79" s="72" t="str">
        <f t="shared" si="9"/>
        <v/>
      </c>
    </row>
    <row r="80" spans="1:19" ht="15.75" customHeight="1">
      <c r="A80" s="506"/>
      <c r="B80" s="51" t="str">
        <f>IF(ISBLANK(A80),"",VLOOKUP(A80,Management!$A$11:$C$25,2,0))</f>
        <v/>
      </c>
      <c r="C80" s="433"/>
      <c r="D80" s="421"/>
      <c r="E80" s="433"/>
      <c r="F80" s="434"/>
      <c r="G80" s="95" t="str">
        <f t="shared" si="3"/>
        <v/>
      </c>
      <c r="H80" s="435"/>
      <c r="I80" s="434"/>
      <c r="J80" s="95" t="str">
        <f t="shared" si="4"/>
        <v/>
      </c>
      <c r="K80" s="81"/>
      <c r="L80" s="362"/>
      <c r="M80" s="256" t="str">
        <f t="shared" si="8"/>
        <v/>
      </c>
      <c r="N80" s="184" t="str">
        <f>IF(OR(ISBLANK($D80),ISBLANK($K80),ISBLANK($L80)),"",IF($L80="0–9 km",0,IF(LEFT($D80,18)="Long-term teaching",VLOOKUP($K80,Subsistence,2,0)*14+VLOOKUP($K80,Subsistence,3,0)*46+VLOOKUP($K80,Subsistence,4,0)*($F80-60),IF(LEFT($D80,18)="Short-term joint s",IF($F80&lt;15,Ceilings!$S$3*$F80,Ceilings!$S$3*14+Ceilings!$S$4*($F80-14)),IF($F80&lt;15,Ceilings!$S$6*$F80,Ceilings!$S$6*14+Ceilings!$S$7*($F80-14))))))</f>
        <v/>
      </c>
      <c r="O80" s="185" t="str">
        <f>IF(OR(ISBLANK(D80),ISBLANK(H80),ISBLANK(K80),ISBLANK(L80)),"",IF(L80="0–9 km",0,IF(I80&lt;15,Ceilings!$S$3*I80,Ceilings!$S$3*14+Ceilings!$S$4*(I80-14))))</f>
        <v/>
      </c>
      <c r="P80" s="183" t="str">
        <f t="shared" si="10"/>
        <v/>
      </c>
      <c r="Q80" s="436"/>
      <c r="R80" s="266" t="str">
        <f>IF(OR(ISBLANK($D80),ISBLANK($K80),ISBLANK(Q80)),"",Ceilings!$V$3*Q80)</f>
        <v/>
      </c>
      <c r="S80" s="72" t="str">
        <f t="shared" si="9"/>
        <v/>
      </c>
    </row>
    <row r="81" spans="1:19" ht="15.75" customHeight="1">
      <c r="A81" s="506"/>
      <c r="B81" s="51" t="str">
        <f>IF(ISBLANK(A81),"",VLOOKUP(A81,Management!$A$11:$C$25,2,0))</f>
        <v/>
      </c>
      <c r="C81" s="433"/>
      <c r="D81" s="421"/>
      <c r="E81" s="433"/>
      <c r="F81" s="434"/>
      <c r="G81" s="95" t="str">
        <f t="shared" si="3"/>
        <v/>
      </c>
      <c r="H81" s="435"/>
      <c r="I81" s="434"/>
      <c r="J81" s="95" t="str">
        <f t="shared" si="4"/>
        <v/>
      </c>
      <c r="K81" s="81"/>
      <c r="L81" s="362"/>
      <c r="M81" s="256" t="str">
        <f t="shared" si="8"/>
        <v/>
      </c>
      <c r="N81" s="184" t="str">
        <f>IF(OR(ISBLANK($D81),ISBLANK($K81),ISBLANK($L81)),"",IF($L81="0–9 km",0,IF(LEFT($D81,18)="Long-term teaching",VLOOKUP($K81,Subsistence,2,0)*14+VLOOKUP($K81,Subsistence,3,0)*46+VLOOKUP($K81,Subsistence,4,0)*($F81-60),IF(LEFT($D81,18)="Short-term joint s",IF($F81&lt;15,Ceilings!$S$3*$F81,Ceilings!$S$3*14+Ceilings!$S$4*($F81-14)),IF($F81&lt;15,Ceilings!$S$6*$F81,Ceilings!$S$6*14+Ceilings!$S$7*($F81-14))))))</f>
        <v/>
      </c>
      <c r="O81" s="185" t="str">
        <f>IF(OR(ISBLANK(D81),ISBLANK(H81),ISBLANK(K81),ISBLANK(L81)),"",IF(L81="0–9 km",0,IF(I81&lt;15,Ceilings!$S$3*I81,Ceilings!$S$3*14+Ceilings!$S$4*(I81-14))))</f>
        <v/>
      </c>
      <c r="P81" s="183" t="str">
        <f t="shared" si="10"/>
        <v/>
      </c>
      <c r="Q81" s="436"/>
      <c r="R81" s="266" t="str">
        <f>IF(OR(ISBLANK($D81),ISBLANK($K81),ISBLANK(Q81)),"",Ceilings!$V$3*Q81)</f>
        <v/>
      </c>
      <c r="S81" s="72" t="str">
        <f t="shared" si="9"/>
        <v/>
      </c>
    </row>
    <row r="82" spans="1:19" ht="15.75" customHeight="1">
      <c r="A82" s="506"/>
      <c r="B82" s="51" t="str">
        <f>IF(ISBLANK(A82),"",VLOOKUP(A82,Management!$A$11:$C$25,2,0))</f>
        <v/>
      </c>
      <c r="C82" s="433"/>
      <c r="D82" s="421"/>
      <c r="E82" s="433"/>
      <c r="F82" s="434"/>
      <c r="G82" s="95" t="str">
        <f t="shared" si="3"/>
        <v/>
      </c>
      <c r="H82" s="435"/>
      <c r="I82" s="434"/>
      <c r="J82" s="95" t="str">
        <f t="shared" si="4"/>
        <v/>
      </c>
      <c r="K82" s="81"/>
      <c r="L82" s="362"/>
      <c r="M82" s="256" t="str">
        <f t="shared" si="8"/>
        <v/>
      </c>
      <c r="N82" s="184" t="str">
        <f>IF(OR(ISBLANK($D82),ISBLANK($K82),ISBLANK($L82)),"",IF($L82="0–9 km",0,IF(LEFT($D82,18)="Long-term teaching",VLOOKUP($K82,Subsistence,2,0)*14+VLOOKUP($K82,Subsistence,3,0)*46+VLOOKUP($K82,Subsistence,4,0)*($F82-60),IF(LEFT($D82,18)="Short-term joint s",IF($F82&lt;15,Ceilings!$S$3*$F82,Ceilings!$S$3*14+Ceilings!$S$4*($F82-14)),IF($F82&lt;15,Ceilings!$S$6*$F82,Ceilings!$S$6*14+Ceilings!$S$7*($F82-14))))))</f>
        <v/>
      </c>
      <c r="O82" s="185" t="str">
        <f>IF(OR(ISBLANK(D82),ISBLANK(H82),ISBLANK(K82),ISBLANK(L82)),"",IF(L82="0–9 km",0,IF(I82&lt;15,Ceilings!$S$3*I82,Ceilings!$S$3*14+Ceilings!$S$4*(I82-14))))</f>
        <v/>
      </c>
      <c r="P82" s="183" t="str">
        <f t="shared" si="10"/>
        <v/>
      </c>
      <c r="Q82" s="436"/>
      <c r="R82" s="266" t="str">
        <f>IF(OR(ISBLANK($D82),ISBLANK($K82),ISBLANK(Q82)),"",Ceilings!$V$3*Q82)</f>
        <v/>
      </c>
      <c r="S82" s="72" t="str">
        <f t="shared" si="9"/>
        <v/>
      </c>
    </row>
    <row r="83" spans="1:19" ht="15.75" customHeight="1">
      <c r="A83" s="506"/>
      <c r="B83" s="51" t="str">
        <f>IF(ISBLANK(A83),"",VLOOKUP(A83,Management!$A$11:$C$25,2,0))</f>
        <v/>
      </c>
      <c r="C83" s="433"/>
      <c r="D83" s="421"/>
      <c r="E83" s="433"/>
      <c r="F83" s="434"/>
      <c r="G83" s="95" t="str">
        <f t="shared" si="3"/>
        <v/>
      </c>
      <c r="H83" s="435"/>
      <c r="I83" s="434"/>
      <c r="J83" s="95" t="str">
        <f t="shared" si="4"/>
        <v/>
      </c>
      <c r="K83" s="81"/>
      <c r="L83" s="362"/>
      <c r="M83" s="256" t="str">
        <f t="shared" si="8"/>
        <v/>
      </c>
      <c r="N83" s="184" t="str">
        <f>IF(OR(ISBLANK($D83),ISBLANK($K83),ISBLANK($L83)),"",IF($L83="0–9 km",0,IF(LEFT($D83,18)="Long-term teaching",VLOOKUP($K83,Subsistence,2,0)*14+VLOOKUP($K83,Subsistence,3,0)*46+VLOOKUP($K83,Subsistence,4,0)*($F83-60),IF(LEFT($D83,18)="Short-term joint s",IF($F83&lt;15,Ceilings!$S$3*$F83,Ceilings!$S$3*14+Ceilings!$S$4*($F83-14)),IF($F83&lt;15,Ceilings!$S$6*$F83,Ceilings!$S$6*14+Ceilings!$S$7*($F83-14))))))</f>
        <v/>
      </c>
      <c r="O83" s="185" t="str">
        <f>IF(OR(ISBLANK(D83),ISBLANK(H83),ISBLANK(K83),ISBLANK(L83)),"",IF(L83="0–9 km",0,IF(I83&lt;15,Ceilings!$S$3*I83,Ceilings!$S$3*14+Ceilings!$S$4*(I83-14))))</f>
        <v/>
      </c>
      <c r="P83" s="183" t="str">
        <f t="shared" si="10"/>
        <v/>
      </c>
      <c r="Q83" s="436"/>
      <c r="R83" s="266" t="str">
        <f>IF(OR(ISBLANK($D83),ISBLANK($K83),ISBLANK(Q83)),"",Ceilings!$V$3*Q83)</f>
        <v/>
      </c>
      <c r="S83" s="72" t="str">
        <f t="shared" si="9"/>
        <v/>
      </c>
    </row>
    <row r="84" spans="1:19" ht="15.75" customHeight="1">
      <c r="A84" s="506"/>
      <c r="B84" s="51" t="str">
        <f>IF(ISBLANK(A84),"",VLOOKUP(A84,Management!$A$11:$C$25,2,0))</f>
        <v/>
      </c>
      <c r="C84" s="433"/>
      <c r="D84" s="421"/>
      <c r="E84" s="433"/>
      <c r="F84" s="434"/>
      <c r="G84" s="95" t="str">
        <f t="shared" si="3"/>
        <v/>
      </c>
      <c r="H84" s="435"/>
      <c r="I84" s="434"/>
      <c r="J84" s="95" t="str">
        <f t="shared" si="4"/>
        <v/>
      </c>
      <c r="K84" s="81"/>
      <c r="L84" s="362"/>
      <c r="M84" s="256" t="str">
        <f t="shared" si="8"/>
        <v/>
      </c>
      <c r="N84" s="184" t="str">
        <f>IF(OR(ISBLANK($D84),ISBLANK($K84),ISBLANK($L84)),"",IF($L84="0–9 km",0,IF(LEFT($D84,18)="Long-term teaching",VLOOKUP($K84,Subsistence,2,0)*14+VLOOKUP($K84,Subsistence,3,0)*46+VLOOKUP($K84,Subsistence,4,0)*($F84-60),IF(LEFT($D84,18)="Short-term joint s",IF($F84&lt;15,Ceilings!$S$3*$F84,Ceilings!$S$3*14+Ceilings!$S$4*($F84-14)),IF($F84&lt;15,Ceilings!$S$6*$F84,Ceilings!$S$6*14+Ceilings!$S$7*($F84-14))))))</f>
        <v/>
      </c>
      <c r="O84" s="185" t="str">
        <f>IF(OR(ISBLANK(D84),ISBLANK(H84),ISBLANK(K84),ISBLANK(L84)),"",IF(L84="0–9 km",0,IF(I84&lt;15,Ceilings!$S$3*I84,Ceilings!$S$3*14+Ceilings!$S$4*(I84-14))))</f>
        <v/>
      </c>
      <c r="P84" s="183" t="str">
        <f t="shared" ref="P84:P106" si="11">IF(N84="","",$E84*N84+IF(O84="",0,$H84*O84))</f>
        <v/>
      </c>
      <c r="Q84" s="436"/>
      <c r="R84" s="266" t="str">
        <f>IF(OR(ISBLANK($D84),ISBLANK($K84),ISBLANK(Q84)),"",Ceilings!$V$3*Q84)</f>
        <v/>
      </c>
      <c r="S84" s="72" t="str">
        <f t="shared" si="9"/>
        <v/>
      </c>
    </row>
    <row r="85" spans="1:19" ht="15.75" customHeight="1">
      <c r="A85" s="506"/>
      <c r="B85" s="51" t="str">
        <f>IF(ISBLANK(A85),"",VLOOKUP(A85,Management!$A$11:$C$25,2,0))</f>
        <v/>
      </c>
      <c r="C85" s="433"/>
      <c r="D85" s="421"/>
      <c r="E85" s="433"/>
      <c r="F85" s="434"/>
      <c r="G85" s="95" t="str">
        <f t="shared" si="3"/>
        <v/>
      </c>
      <c r="H85" s="435"/>
      <c r="I85" s="434"/>
      <c r="J85" s="95" t="str">
        <f t="shared" si="4"/>
        <v/>
      </c>
      <c r="K85" s="81"/>
      <c r="L85" s="362"/>
      <c r="M85" s="256" t="str">
        <f t="shared" si="8"/>
        <v/>
      </c>
      <c r="N85" s="184" t="str">
        <f>IF(OR(ISBLANK($D85),ISBLANK($K85),ISBLANK($L85)),"",IF($L85="0–9 km",0,IF(LEFT($D85,18)="Long-term teaching",VLOOKUP($K85,Subsistence,2,0)*14+VLOOKUP($K85,Subsistence,3,0)*46+VLOOKUP($K85,Subsistence,4,0)*($F85-60),IF(LEFT($D85,18)="Short-term joint s",IF($F85&lt;15,Ceilings!$S$3*$F85,Ceilings!$S$3*14+Ceilings!$S$4*($F85-14)),IF($F85&lt;15,Ceilings!$S$6*$F85,Ceilings!$S$6*14+Ceilings!$S$7*($F85-14))))))</f>
        <v/>
      </c>
      <c r="O85" s="185" t="str">
        <f>IF(OR(ISBLANK(D85),ISBLANK(H85),ISBLANK(K85),ISBLANK(L85)),"",IF(L85="0–9 km",0,IF(I85&lt;15,Ceilings!$S$3*I85,Ceilings!$S$3*14+Ceilings!$S$4*(I85-14))))</f>
        <v/>
      </c>
      <c r="P85" s="183" t="str">
        <f t="shared" si="11"/>
        <v/>
      </c>
      <c r="Q85" s="436"/>
      <c r="R85" s="266" t="str">
        <f>IF(OR(ISBLANK($D85),ISBLANK($K85),ISBLANK(Q85)),"",Ceilings!$V$3*Q85)</f>
        <v/>
      </c>
      <c r="S85" s="72" t="str">
        <f t="shared" si="9"/>
        <v/>
      </c>
    </row>
    <row r="86" spans="1:19" ht="15.75" customHeight="1">
      <c r="A86" s="506"/>
      <c r="B86" s="51" t="str">
        <f>IF(ISBLANK(A86),"",VLOOKUP(A86,Management!$A$11:$C$25,2,0))</f>
        <v/>
      </c>
      <c r="C86" s="433"/>
      <c r="D86" s="421"/>
      <c r="E86" s="433"/>
      <c r="F86" s="434"/>
      <c r="G86" s="95" t="str">
        <f t="shared" si="3"/>
        <v/>
      </c>
      <c r="H86" s="435"/>
      <c r="I86" s="434"/>
      <c r="J86" s="95" t="str">
        <f t="shared" si="4"/>
        <v/>
      </c>
      <c r="K86" s="81"/>
      <c r="L86" s="362"/>
      <c r="M86" s="256" t="str">
        <f t="shared" si="8"/>
        <v/>
      </c>
      <c r="N86" s="184" t="str">
        <f>IF(OR(ISBLANK($D86),ISBLANK($K86),ISBLANK($L86)),"",IF($L86="0–9 km",0,IF(LEFT($D86,18)="Long-term teaching",VLOOKUP($K86,Subsistence,2,0)*14+VLOOKUP($K86,Subsistence,3,0)*46+VLOOKUP($K86,Subsistence,4,0)*($F86-60),IF(LEFT($D86,18)="Short-term joint s",IF($F86&lt;15,Ceilings!$S$3*$F86,Ceilings!$S$3*14+Ceilings!$S$4*($F86-14)),IF($F86&lt;15,Ceilings!$S$6*$F86,Ceilings!$S$6*14+Ceilings!$S$7*($F86-14))))))</f>
        <v/>
      </c>
      <c r="O86" s="185" t="str">
        <f>IF(OR(ISBLANK(D86),ISBLANK(H86),ISBLANK(K86),ISBLANK(L86)),"",IF(L86="0–9 km",0,IF(I86&lt;15,Ceilings!$S$3*I86,Ceilings!$S$3*14+Ceilings!$S$4*(I86-14))))</f>
        <v/>
      </c>
      <c r="P86" s="183" t="str">
        <f t="shared" si="11"/>
        <v/>
      </c>
      <c r="Q86" s="436"/>
      <c r="R86" s="266" t="str">
        <f>IF(OR(ISBLANK($D86),ISBLANK($K86),ISBLANK(Q86)),"",Ceilings!$V$3*Q86)</f>
        <v/>
      </c>
      <c r="S86" s="72" t="str">
        <f t="shared" si="9"/>
        <v/>
      </c>
    </row>
    <row r="87" spans="1:19" ht="15.75" customHeight="1">
      <c r="A87" s="506"/>
      <c r="B87" s="51" t="str">
        <f>IF(ISBLANK(A87),"",VLOOKUP(A87,Management!$A$11:$C$25,2,0))</f>
        <v/>
      </c>
      <c r="C87" s="433"/>
      <c r="D87" s="421"/>
      <c r="E87" s="433"/>
      <c r="F87" s="434"/>
      <c r="G87" s="95" t="str">
        <f t="shared" si="3"/>
        <v/>
      </c>
      <c r="H87" s="435"/>
      <c r="I87" s="434"/>
      <c r="J87" s="95" t="str">
        <f t="shared" si="4"/>
        <v/>
      </c>
      <c r="K87" s="81"/>
      <c r="L87" s="362"/>
      <c r="M87" s="256" t="str">
        <f t="shared" si="8"/>
        <v/>
      </c>
      <c r="N87" s="184" t="str">
        <f>IF(OR(ISBLANK($D87),ISBLANK($K87),ISBLANK($L87)),"",IF($L87="0–9 km",0,IF(LEFT($D87,18)="Long-term teaching",VLOOKUP($K87,Subsistence,2,0)*14+VLOOKUP($K87,Subsistence,3,0)*46+VLOOKUP($K87,Subsistence,4,0)*($F87-60),IF(LEFT($D87,18)="Short-term joint s",IF($F87&lt;15,Ceilings!$S$3*$F87,Ceilings!$S$3*14+Ceilings!$S$4*($F87-14)),IF($F87&lt;15,Ceilings!$S$6*$F87,Ceilings!$S$6*14+Ceilings!$S$7*($F87-14))))))</f>
        <v/>
      </c>
      <c r="O87" s="185" t="str">
        <f>IF(OR(ISBLANK(D87),ISBLANK(H87),ISBLANK(K87),ISBLANK(L87)),"",IF(L87="0–9 km",0,IF(I87&lt;15,Ceilings!$S$3*I87,Ceilings!$S$3*14+Ceilings!$S$4*(I87-14))))</f>
        <v/>
      </c>
      <c r="P87" s="183" t="str">
        <f t="shared" si="11"/>
        <v/>
      </c>
      <c r="Q87" s="436"/>
      <c r="R87" s="266" t="str">
        <f>IF(OR(ISBLANK($D87),ISBLANK($K87),ISBLANK(Q87)),"",Ceilings!$V$3*Q87)</f>
        <v/>
      </c>
      <c r="S87" s="72" t="str">
        <f t="shared" si="9"/>
        <v/>
      </c>
    </row>
    <row r="88" spans="1:19" ht="15.75" customHeight="1">
      <c r="A88" s="506"/>
      <c r="B88" s="51" t="str">
        <f>IF(ISBLANK(A88),"",VLOOKUP(A88,Management!$A$11:$C$25,2,0))</f>
        <v/>
      </c>
      <c r="C88" s="433"/>
      <c r="D88" s="421"/>
      <c r="E88" s="433"/>
      <c r="F88" s="434"/>
      <c r="G88" s="95" t="str">
        <f t="shared" si="3"/>
        <v/>
      </c>
      <c r="H88" s="435"/>
      <c r="I88" s="434"/>
      <c r="J88" s="95" t="str">
        <f t="shared" si="4"/>
        <v/>
      </c>
      <c r="K88" s="81"/>
      <c r="L88" s="362"/>
      <c r="M88" s="256" t="str">
        <f t="shared" si="8"/>
        <v/>
      </c>
      <c r="N88" s="184" t="str">
        <f>IF(OR(ISBLANK($D88),ISBLANK($K88),ISBLANK($L88)),"",IF($L88="0–9 km",0,IF(LEFT($D88,18)="Long-term teaching",VLOOKUP($K88,Subsistence,2,0)*14+VLOOKUP($K88,Subsistence,3,0)*46+VLOOKUP($K88,Subsistence,4,0)*($F88-60),IF(LEFT($D88,18)="Short-term joint s",IF($F88&lt;15,Ceilings!$S$3*$F88,Ceilings!$S$3*14+Ceilings!$S$4*($F88-14)),IF($F88&lt;15,Ceilings!$S$6*$F88,Ceilings!$S$6*14+Ceilings!$S$7*($F88-14))))))</f>
        <v/>
      </c>
      <c r="O88" s="185" t="str">
        <f>IF(OR(ISBLANK(D88),ISBLANK(H88),ISBLANK(K88),ISBLANK(L88)),"",IF(L88="0–9 km",0,IF(I88&lt;15,Ceilings!$S$3*I88,Ceilings!$S$3*14+Ceilings!$S$4*(I88-14))))</f>
        <v/>
      </c>
      <c r="P88" s="183" t="str">
        <f t="shared" si="11"/>
        <v/>
      </c>
      <c r="Q88" s="436"/>
      <c r="R88" s="266" t="str">
        <f>IF(OR(ISBLANK($D88),ISBLANK($K88),ISBLANK(Q88)),"",Ceilings!$V$3*Q88)</f>
        <v/>
      </c>
      <c r="S88" s="72" t="str">
        <f t="shared" si="9"/>
        <v/>
      </c>
    </row>
    <row r="89" spans="1:19" ht="15.75" customHeight="1">
      <c r="A89" s="506"/>
      <c r="B89" s="51" t="str">
        <f>IF(ISBLANK(A89),"",VLOOKUP(A89,Management!$A$11:$C$25,2,0))</f>
        <v/>
      </c>
      <c r="C89" s="433"/>
      <c r="D89" s="421"/>
      <c r="E89" s="433"/>
      <c r="F89" s="434"/>
      <c r="G89" s="95" t="str">
        <f t="shared" si="3"/>
        <v/>
      </c>
      <c r="H89" s="435"/>
      <c r="I89" s="434"/>
      <c r="J89" s="95" t="str">
        <f t="shared" si="4"/>
        <v/>
      </c>
      <c r="K89" s="81"/>
      <c r="L89" s="362"/>
      <c r="M89" s="256" t="str">
        <f t="shared" si="8"/>
        <v/>
      </c>
      <c r="N89" s="184" t="str">
        <f>IF(OR(ISBLANK($D89),ISBLANK($K89),ISBLANK($L89)),"",IF($L89="0–9 km",0,IF(LEFT($D89,18)="Long-term teaching",VLOOKUP($K89,Subsistence,2,0)*14+VLOOKUP($K89,Subsistence,3,0)*46+VLOOKUP($K89,Subsistence,4,0)*($F89-60),IF(LEFT($D89,18)="Short-term joint s",IF($F89&lt;15,Ceilings!$S$3*$F89,Ceilings!$S$3*14+Ceilings!$S$4*($F89-14)),IF($F89&lt;15,Ceilings!$S$6*$F89,Ceilings!$S$6*14+Ceilings!$S$7*($F89-14))))))</f>
        <v/>
      </c>
      <c r="O89" s="185" t="str">
        <f>IF(OR(ISBLANK(D89),ISBLANK(H89),ISBLANK(K89),ISBLANK(L89)),"",IF(L89="0–9 km",0,IF(I89&lt;15,Ceilings!$S$3*I89,Ceilings!$S$3*14+Ceilings!$S$4*(I89-14))))</f>
        <v/>
      </c>
      <c r="P89" s="183" t="str">
        <f t="shared" si="11"/>
        <v/>
      </c>
      <c r="Q89" s="436"/>
      <c r="R89" s="266" t="str">
        <f>IF(OR(ISBLANK($D89),ISBLANK($K89),ISBLANK(Q89)),"",Ceilings!$V$3*Q89)</f>
        <v/>
      </c>
      <c r="S89" s="72" t="str">
        <f t="shared" si="9"/>
        <v/>
      </c>
    </row>
    <row r="90" spans="1:19" ht="15.75" customHeight="1">
      <c r="A90" s="506"/>
      <c r="B90" s="51" t="str">
        <f>IF(ISBLANK(A90),"",VLOOKUP(A90,Management!$A$11:$C$25,2,0))</f>
        <v/>
      </c>
      <c r="C90" s="433"/>
      <c r="D90" s="421"/>
      <c r="E90" s="433"/>
      <c r="F90" s="434"/>
      <c r="G90" s="95" t="str">
        <f t="shared" si="3"/>
        <v/>
      </c>
      <c r="H90" s="435"/>
      <c r="I90" s="434"/>
      <c r="J90" s="95" t="str">
        <f t="shared" si="4"/>
        <v/>
      </c>
      <c r="K90" s="81"/>
      <c r="L90" s="362"/>
      <c r="M90" s="256" t="str">
        <f t="shared" si="8"/>
        <v/>
      </c>
      <c r="N90" s="184" t="str">
        <f>IF(OR(ISBLANK($D90),ISBLANK($K90),ISBLANK($L90)),"",IF($L90="0–9 km",0,IF(LEFT($D90,18)="Long-term teaching",VLOOKUP($K90,Subsistence,2,0)*14+VLOOKUP($K90,Subsistence,3,0)*46+VLOOKUP($K90,Subsistence,4,0)*($F90-60),IF(LEFT($D90,18)="Short-term joint s",IF($F90&lt;15,Ceilings!$S$3*$F90,Ceilings!$S$3*14+Ceilings!$S$4*($F90-14)),IF($F90&lt;15,Ceilings!$S$6*$F90,Ceilings!$S$6*14+Ceilings!$S$7*($F90-14))))))</f>
        <v/>
      </c>
      <c r="O90" s="185" t="str">
        <f>IF(OR(ISBLANK(D90),ISBLANK(H90),ISBLANK(K90),ISBLANK(L90)),"",IF(L90="0–9 km",0,IF(I90&lt;15,Ceilings!$S$3*I90,Ceilings!$S$3*14+Ceilings!$S$4*(I90-14))))</f>
        <v/>
      </c>
      <c r="P90" s="183" t="str">
        <f t="shared" si="11"/>
        <v/>
      </c>
      <c r="Q90" s="436"/>
      <c r="R90" s="266" t="str">
        <f>IF(OR(ISBLANK($D90),ISBLANK($K90),ISBLANK(Q90)),"",Ceilings!$V$3*Q90)</f>
        <v/>
      </c>
      <c r="S90" s="72" t="str">
        <f t="shared" si="9"/>
        <v/>
      </c>
    </row>
    <row r="91" spans="1:19" ht="15.75" customHeight="1">
      <c r="A91" s="506"/>
      <c r="B91" s="51" t="str">
        <f>IF(ISBLANK(A91),"",VLOOKUP(A91,Management!$A$11:$C$25,2,0))</f>
        <v/>
      </c>
      <c r="C91" s="433"/>
      <c r="D91" s="421"/>
      <c r="E91" s="433"/>
      <c r="F91" s="434"/>
      <c r="G91" s="95" t="str">
        <f t="shared" si="3"/>
        <v/>
      </c>
      <c r="H91" s="435"/>
      <c r="I91" s="434"/>
      <c r="J91" s="95" t="str">
        <f t="shared" si="4"/>
        <v/>
      </c>
      <c r="K91" s="81"/>
      <c r="L91" s="362"/>
      <c r="M91" s="256" t="str">
        <f t="shared" si="8"/>
        <v/>
      </c>
      <c r="N91" s="184" t="str">
        <f>IF(OR(ISBLANK($D91),ISBLANK($K91),ISBLANK($L91)),"",IF($L91="0–9 km",0,IF(LEFT($D91,18)="Long-term teaching",VLOOKUP($K91,Subsistence,2,0)*14+VLOOKUP($K91,Subsistence,3,0)*46+VLOOKUP($K91,Subsistence,4,0)*($F91-60),IF(LEFT($D91,18)="Short-term joint s",IF($F91&lt;15,Ceilings!$S$3*$F91,Ceilings!$S$3*14+Ceilings!$S$4*($F91-14)),IF($F91&lt;15,Ceilings!$S$6*$F91,Ceilings!$S$6*14+Ceilings!$S$7*($F91-14))))))</f>
        <v/>
      </c>
      <c r="O91" s="185" t="str">
        <f>IF(OR(ISBLANK(D91),ISBLANK(H91),ISBLANK(K91),ISBLANK(L91)),"",IF(L91="0–9 km",0,IF(I91&lt;15,Ceilings!$S$3*I91,Ceilings!$S$3*14+Ceilings!$S$4*(I91-14))))</f>
        <v/>
      </c>
      <c r="P91" s="183" t="str">
        <f t="shared" si="11"/>
        <v/>
      </c>
      <c r="Q91" s="436"/>
      <c r="R91" s="266" t="str">
        <f>IF(OR(ISBLANK($D91),ISBLANK($K91),ISBLANK(Q91)),"",Ceilings!$V$3*Q91)</f>
        <v/>
      </c>
      <c r="S91" s="72" t="str">
        <f t="shared" si="9"/>
        <v/>
      </c>
    </row>
    <row r="92" spans="1:19" ht="15.75" customHeight="1">
      <c r="A92" s="506"/>
      <c r="B92" s="51" t="str">
        <f>IF(ISBLANK(A92),"",VLOOKUP(A92,Management!$A$11:$C$25,2,0))</f>
        <v/>
      </c>
      <c r="C92" s="433"/>
      <c r="D92" s="421"/>
      <c r="E92" s="433"/>
      <c r="F92" s="434"/>
      <c r="G92" s="95" t="str">
        <f t="shared" si="3"/>
        <v/>
      </c>
      <c r="H92" s="435"/>
      <c r="I92" s="434"/>
      <c r="J92" s="95" t="str">
        <f t="shared" si="4"/>
        <v/>
      </c>
      <c r="K92" s="81"/>
      <c r="L92" s="362"/>
      <c r="M92" s="256" t="str">
        <f t="shared" si="8"/>
        <v/>
      </c>
      <c r="N92" s="184" t="str">
        <f>IF(OR(ISBLANK($D92),ISBLANK($K92),ISBLANK($L92)),"",IF($L92="0–9 km",0,IF(LEFT($D92,18)="Long-term teaching",VLOOKUP($K92,Subsistence,2,0)*14+VLOOKUP($K92,Subsistence,3,0)*46+VLOOKUP($K92,Subsistence,4,0)*($F92-60),IF(LEFT($D92,18)="Short-term joint s",IF($F92&lt;15,Ceilings!$S$3*$F92,Ceilings!$S$3*14+Ceilings!$S$4*($F92-14)),IF($F92&lt;15,Ceilings!$S$6*$F92,Ceilings!$S$6*14+Ceilings!$S$7*($F92-14))))))</f>
        <v/>
      </c>
      <c r="O92" s="185" t="str">
        <f>IF(OR(ISBLANK(D92),ISBLANK(H92),ISBLANK(K92),ISBLANK(L92)),"",IF(L92="0–9 km",0,IF(I92&lt;15,Ceilings!$S$3*I92,Ceilings!$S$3*14+Ceilings!$S$4*(I92-14))))</f>
        <v/>
      </c>
      <c r="P92" s="183" t="str">
        <f t="shared" si="11"/>
        <v/>
      </c>
      <c r="Q92" s="436"/>
      <c r="R92" s="266" t="str">
        <f>IF(OR(ISBLANK($D92),ISBLANK($K92),ISBLANK(Q92)),"",Ceilings!$V$3*Q92)</f>
        <v/>
      </c>
      <c r="S92" s="72" t="str">
        <f t="shared" si="9"/>
        <v/>
      </c>
    </row>
    <row r="93" spans="1:19" ht="15.75" customHeight="1">
      <c r="A93" s="506"/>
      <c r="B93" s="51" t="str">
        <f>IF(ISBLANK(A93),"",VLOOKUP(A93,Management!$A$11:$C$25,2,0))</f>
        <v/>
      </c>
      <c r="C93" s="433"/>
      <c r="D93" s="421"/>
      <c r="E93" s="433"/>
      <c r="F93" s="434"/>
      <c r="G93" s="95" t="str">
        <f t="shared" si="3"/>
        <v/>
      </c>
      <c r="H93" s="435"/>
      <c r="I93" s="434"/>
      <c r="J93" s="95" t="str">
        <f t="shared" si="4"/>
        <v/>
      </c>
      <c r="K93" s="81"/>
      <c r="L93" s="362"/>
      <c r="M93" s="256" t="str">
        <f t="shared" si="8"/>
        <v/>
      </c>
      <c r="N93" s="184" t="str">
        <f>IF(OR(ISBLANK($D93),ISBLANK($K93),ISBLANK($L93)),"",IF($L93="0–9 km",0,IF(LEFT($D93,18)="Long-term teaching",VLOOKUP($K93,Subsistence,2,0)*14+VLOOKUP($K93,Subsistence,3,0)*46+VLOOKUP($K93,Subsistence,4,0)*($F93-60),IF(LEFT($D93,18)="Short-term joint s",IF($F93&lt;15,Ceilings!$S$3*$F93,Ceilings!$S$3*14+Ceilings!$S$4*($F93-14)),IF($F93&lt;15,Ceilings!$S$6*$F93,Ceilings!$S$6*14+Ceilings!$S$7*($F93-14))))))</f>
        <v/>
      </c>
      <c r="O93" s="185" t="str">
        <f>IF(OR(ISBLANK(D93),ISBLANK(H93),ISBLANK(K93),ISBLANK(L93)),"",IF(L93="0–9 km",0,IF(I93&lt;15,Ceilings!$S$3*I93,Ceilings!$S$3*14+Ceilings!$S$4*(I93-14))))</f>
        <v/>
      </c>
      <c r="P93" s="183" t="str">
        <f t="shared" si="11"/>
        <v/>
      </c>
      <c r="Q93" s="436"/>
      <c r="R93" s="266" t="str">
        <f>IF(OR(ISBLANK($D93),ISBLANK($K93),ISBLANK(Q93)),"",Ceilings!$V$3*Q93)</f>
        <v/>
      </c>
      <c r="S93" s="72" t="str">
        <f t="shared" si="9"/>
        <v/>
      </c>
    </row>
    <row r="94" spans="1:19" ht="15.75" customHeight="1">
      <c r="A94" s="506"/>
      <c r="B94" s="51" t="str">
        <f>IF(ISBLANK(A94),"",VLOOKUP(A94,Management!$A$11:$C$25,2,0))</f>
        <v/>
      </c>
      <c r="C94" s="433"/>
      <c r="D94" s="421"/>
      <c r="E94" s="433"/>
      <c r="F94" s="434"/>
      <c r="G94" s="95" t="str">
        <f t="shared" si="3"/>
        <v/>
      </c>
      <c r="H94" s="435"/>
      <c r="I94" s="434"/>
      <c r="J94" s="95" t="str">
        <f t="shared" si="4"/>
        <v/>
      </c>
      <c r="K94" s="81"/>
      <c r="L94" s="362"/>
      <c r="M94" s="256" t="str">
        <f t="shared" si="8"/>
        <v/>
      </c>
      <c r="N94" s="184" t="str">
        <f>IF(OR(ISBLANK($D94),ISBLANK($K94),ISBLANK($L94)),"",IF($L94="0–9 km",0,IF(LEFT($D94,18)="Long-term teaching",VLOOKUP($K94,Subsistence,2,0)*14+VLOOKUP($K94,Subsistence,3,0)*46+VLOOKUP($K94,Subsistence,4,0)*($F94-60),IF(LEFT($D94,18)="Short-term joint s",IF($F94&lt;15,Ceilings!$S$3*$F94,Ceilings!$S$3*14+Ceilings!$S$4*($F94-14)),IF($F94&lt;15,Ceilings!$S$6*$F94,Ceilings!$S$6*14+Ceilings!$S$7*($F94-14))))))</f>
        <v/>
      </c>
      <c r="O94" s="185" t="str">
        <f>IF(OR(ISBLANK(D94),ISBLANK(H94),ISBLANK(K94),ISBLANK(L94)),"",IF(L94="0–9 km",0,IF(I94&lt;15,Ceilings!$S$3*I94,Ceilings!$S$3*14+Ceilings!$S$4*(I94-14))))</f>
        <v/>
      </c>
      <c r="P94" s="183" t="str">
        <f t="shared" si="11"/>
        <v/>
      </c>
      <c r="Q94" s="436"/>
      <c r="R94" s="266" t="str">
        <f>IF(OR(ISBLANK($D94),ISBLANK($K94),ISBLANK(Q94)),"",Ceilings!$V$3*Q94)</f>
        <v/>
      </c>
      <c r="S94" s="72" t="str">
        <f t="shared" si="9"/>
        <v/>
      </c>
    </row>
    <row r="95" spans="1:19" ht="15.75" customHeight="1">
      <c r="A95" s="506"/>
      <c r="B95" s="51" t="str">
        <f>IF(ISBLANK(A95),"",VLOOKUP(A95,Management!$A$11:$C$25,2,0))</f>
        <v/>
      </c>
      <c r="C95" s="433"/>
      <c r="D95" s="421"/>
      <c r="E95" s="433"/>
      <c r="F95" s="434"/>
      <c r="G95" s="95" t="str">
        <f t="shared" si="3"/>
        <v/>
      </c>
      <c r="H95" s="435"/>
      <c r="I95" s="434"/>
      <c r="J95" s="95" t="str">
        <f t="shared" si="4"/>
        <v/>
      </c>
      <c r="K95" s="81"/>
      <c r="L95" s="362"/>
      <c r="M95" s="256" t="str">
        <f t="shared" si="8"/>
        <v/>
      </c>
      <c r="N95" s="184" t="str">
        <f>IF(OR(ISBLANK($D95),ISBLANK($K95),ISBLANK($L95)),"",IF($L95="0–9 km",0,IF(LEFT($D95,18)="Long-term teaching",VLOOKUP($K95,Subsistence,2,0)*14+VLOOKUP($K95,Subsistence,3,0)*46+VLOOKUP($K95,Subsistence,4,0)*($F95-60),IF(LEFT($D95,18)="Short-term joint s",IF($F95&lt;15,Ceilings!$S$3*$F95,Ceilings!$S$3*14+Ceilings!$S$4*($F95-14)),IF($F95&lt;15,Ceilings!$S$6*$F95,Ceilings!$S$6*14+Ceilings!$S$7*($F95-14))))))</f>
        <v/>
      </c>
      <c r="O95" s="185" t="str">
        <f>IF(OR(ISBLANK(D95),ISBLANK(H95),ISBLANK(K95),ISBLANK(L95)),"",IF(L95="0–9 km",0,IF(I95&lt;15,Ceilings!$S$3*I95,Ceilings!$S$3*14+Ceilings!$S$4*(I95-14))))</f>
        <v/>
      </c>
      <c r="P95" s="183" t="str">
        <f t="shared" si="11"/>
        <v/>
      </c>
      <c r="Q95" s="436"/>
      <c r="R95" s="266" t="str">
        <f>IF(OR(ISBLANK($D95),ISBLANK($K95),ISBLANK(Q95)),"",Ceilings!$V$3*Q95)</f>
        <v/>
      </c>
      <c r="S95" s="72" t="str">
        <f t="shared" si="9"/>
        <v/>
      </c>
    </row>
    <row r="96" spans="1:19" ht="15.75" customHeight="1">
      <c r="A96" s="506"/>
      <c r="B96" s="51" t="str">
        <f>IF(ISBLANK(A96),"",VLOOKUP(A96,Management!$A$11:$C$25,2,0))</f>
        <v/>
      </c>
      <c r="C96" s="433"/>
      <c r="D96" s="421"/>
      <c r="E96" s="433"/>
      <c r="F96" s="434"/>
      <c r="G96" s="95" t="str">
        <f t="shared" si="3"/>
        <v/>
      </c>
      <c r="H96" s="435"/>
      <c r="I96" s="434"/>
      <c r="J96" s="95" t="str">
        <f t="shared" si="4"/>
        <v/>
      </c>
      <c r="K96" s="81"/>
      <c r="L96" s="362"/>
      <c r="M96" s="256" t="str">
        <f t="shared" si="8"/>
        <v/>
      </c>
      <c r="N96" s="184" t="str">
        <f>IF(OR(ISBLANK($D96),ISBLANK($K96),ISBLANK($L96)),"",IF($L96="0–9 km",0,IF(LEFT($D96,18)="Long-term teaching",VLOOKUP($K96,Subsistence,2,0)*14+VLOOKUP($K96,Subsistence,3,0)*46+VLOOKUP($K96,Subsistence,4,0)*($F96-60),IF(LEFT($D96,18)="Short-term joint s",IF($F96&lt;15,Ceilings!$S$3*$F96,Ceilings!$S$3*14+Ceilings!$S$4*($F96-14)),IF($F96&lt;15,Ceilings!$S$6*$F96,Ceilings!$S$6*14+Ceilings!$S$7*($F96-14))))))</f>
        <v/>
      </c>
      <c r="O96" s="185" t="str">
        <f>IF(OR(ISBLANK(D96),ISBLANK(H96),ISBLANK(K96),ISBLANK(L96)),"",IF(L96="0–9 km",0,IF(I96&lt;15,Ceilings!$S$3*I96,Ceilings!$S$3*14+Ceilings!$S$4*(I96-14))))</f>
        <v/>
      </c>
      <c r="P96" s="183" t="str">
        <f t="shared" si="11"/>
        <v/>
      </c>
      <c r="Q96" s="436"/>
      <c r="R96" s="266" t="str">
        <f>IF(OR(ISBLANK($D96),ISBLANK($K96),ISBLANK(Q96)),"",Ceilings!$V$3*Q96)</f>
        <v/>
      </c>
      <c r="S96" s="72" t="str">
        <f t="shared" si="9"/>
        <v/>
      </c>
    </row>
    <row r="97" spans="1:19" ht="15.75" customHeight="1">
      <c r="A97" s="506"/>
      <c r="B97" s="51" t="str">
        <f>IF(ISBLANK(A97),"",VLOOKUP(A97,Management!$A$11:$C$25,2,0))</f>
        <v/>
      </c>
      <c r="C97" s="433"/>
      <c r="D97" s="421"/>
      <c r="E97" s="433"/>
      <c r="F97" s="434"/>
      <c r="G97" s="95" t="str">
        <f t="shared" si="3"/>
        <v/>
      </c>
      <c r="H97" s="435"/>
      <c r="I97" s="434"/>
      <c r="J97" s="95" t="str">
        <f t="shared" si="4"/>
        <v/>
      </c>
      <c r="K97" s="81"/>
      <c r="L97" s="362"/>
      <c r="M97" s="256" t="str">
        <f t="shared" si="8"/>
        <v/>
      </c>
      <c r="N97" s="184" t="str">
        <f>IF(OR(ISBLANK($D97),ISBLANK($K97),ISBLANK($L97)),"",IF($L97="0–9 km",0,IF(LEFT($D97,18)="Long-term teaching",VLOOKUP($K97,Subsistence,2,0)*14+VLOOKUP($K97,Subsistence,3,0)*46+VLOOKUP($K97,Subsistence,4,0)*($F97-60),IF(LEFT($D97,18)="Short-term joint s",IF($F97&lt;15,Ceilings!$S$3*$F97,Ceilings!$S$3*14+Ceilings!$S$4*($F97-14)),IF($F97&lt;15,Ceilings!$S$6*$F97,Ceilings!$S$6*14+Ceilings!$S$7*($F97-14))))))</f>
        <v/>
      </c>
      <c r="O97" s="185" t="str">
        <f>IF(OR(ISBLANK(D97),ISBLANK(H97),ISBLANK(K97),ISBLANK(L97)),"",IF(L97="0–9 km",0,IF(I97&lt;15,Ceilings!$S$3*I97,Ceilings!$S$3*14+Ceilings!$S$4*(I97-14))))</f>
        <v/>
      </c>
      <c r="P97" s="183" t="str">
        <f t="shared" si="11"/>
        <v/>
      </c>
      <c r="Q97" s="436"/>
      <c r="R97" s="266" t="str">
        <f>IF(OR(ISBLANK($D97),ISBLANK($K97),ISBLANK(Q97)),"",Ceilings!$V$3*Q97)</f>
        <v/>
      </c>
      <c r="S97" s="72" t="str">
        <f t="shared" si="9"/>
        <v/>
      </c>
    </row>
    <row r="98" spans="1:19" ht="15.75" customHeight="1">
      <c r="A98" s="506"/>
      <c r="B98" s="51" t="str">
        <f>IF(ISBLANK(A98),"",VLOOKUP(A98,Management!$A$11:$C$25,2,0))</f>
        <v/>
      </c>
      <c r="C98" s="433"/>
      <c r="D98" s="421"/>
      <c r="E98" s="433"/>
      <c r="F98" s="434"/>
      <c r="G98" s="95" t="str">
        <f t="shared" si="3"/>
        <v/>
      </c>
      <c r="H98" s="435"/>
      <c r="I98" s="434"/>
      <c r="J98" s="95" t="str">
        <f t="shared" si="4"/>
        <v/>
      </c>
      <c r="K98" s="81"/>
      <c r="L98" s="362"/>
      <c r="M98" s="256" t="str">
        <f t="shared" si="8"/>
        <v/>
      </c>
      <c r="N98" s="184" t="str">
        <f>IF(OR(ISBLANK($D98),ISBLANK($K98),ISBLANK($L98)),"",IF($L98="0–9 km",0,IF(LEFT($D98,18)="Long-term teaching",VLOOKUP($K98,Subsistence,2,0)*14+VLOOKUP($K98,Subsistence,3,0)*46+VLOOKUP($K98,Subsistence,4,0)*($F98-60),IF(LEFT($D98,18)="Short-term joint s",IF($F98&lt;15,Ceilings!$S$3*$F98,Ceilings!$S$3*14+Ceilings!$S$4*($F98-14)),IF($F98&lt;15,Ceilings!$S$6*$F98,Ceilings!$S$6*14+Ceilings!$S$7*($F98-14))))))</f>
        <v/>
      </c>
      <c r="O98" s="185" t="str">
        <f>IF(OR(ISBLANK(D98),ISBLANK(H98),ISBLANK(K98),ISBLANK(L98)),"",IF(L98="0–9 km",0,IF(I98&lt;15,Ceilings!$S$3*I98,Ceilings!$S$3*14+Ceilings!$S$4*(I98-14))))</f>
        <v/>
      </c>
      <c r="P98" s="183" t="str">
        <f t="shared" si="11"/>
        <v/>
      </c>
      <c r="Q98" s="436"/>
      <c r="R98" s="266" t="str">
        <f>IF(OR(ISBLANK($D98),ISBLANK($K98),ISBLANK(Q98)),"",Ceilings!$V$3*Q98)</f>
        <v/>
      </c>
      <c r="S98" s="72" t="str">
        <f t="shared" si="9"/>
        <v/>
      </c>
    </row>
    <row r="99" spans="1:19" ht="15.75" customHeight="1">
      <c r="A99" s="506"/>
      <c r="B99" s="51" t="str">
        <f>IF(ISBLANK(A99),"",VLOOKUP(A99,Management!$A$11:$C$25,2,0))</f>
        <v/>
      </c>
      <c r="C99" s="433"/>
      <c r="D99" s="421"/>
      <c r="E99" s="433"/>
      <c r="F99" s="434"/>
      <c r="G99" s="95" t="str">
        <f t="shared" si="3"/>
        <v/>
      </c>
      <c r="H99" s="435"/>
      <c r="I99" s="434"/>
      <c r="J99" s="95" t="str">
        <f t="shared" si="4"/>
        <v/>
      </c>
      <c r="K99" s="81"/>
      <c r="L99" s="362"/>
      <c r="M99" s="256" t="str">
        <f t="shared" si="8"/>
        <v/>
      </c>
      <c r="N99" s="184" t="str">
        <f>IF(OR(ISBLANK($D99),ISBLANK($K99),ISBLANK($L99)),"",IF($L99="0–9 km",0,IF(LEFT($D99,18)="Long-term teaching",VLOOKUP($K99,Subsistence,2,0)*14+VLOOKUP($K99,Subsistence,3,0)*46+VLOOKUP($K99,Subsistence,4,0)*($F99-60),IF(LEFT($D99,18)="Short-term joint s",IF($F99&lt;15,Ceilings!$S$3*$F99,Ceilings!$S$3*14+Ceilings!$S$4*($F99-14)),IF($F99&lt;15,Ceilings!$S$6*$F99,Ceilings!$S$6*14+Ceilings!$S$7*($F99-14))))))</f>
        <v/>
      </c>
      <c r="O99" s="185" t="str">
        <f>IF(OR(ISBLANK(D99),ISBLANK(H99),ISBLANK(K99),ISBLANK(L99)),"",IF(L99="0–9 km",0,IF(I99&lt;15,Ceilings!$S$3*I99,Ceilings!$S$3*14+Ceilings!$S$4*(I99-14))))</f>
        <v/>
      </c>
      <c r="P99" s="183" t="str">
        <f t="shared" si="11"/>
        <v/>
      </c>
      <c r="Q99" s="436"/>
      <c r="R99" s="266" t="str">
        <f>IF(OR(ISBLANK($D99),ISBLANK($K99),ISBLANK(Q99)),"",Ceilings!$V$3*Q99)</f>
        <v/>
      </c>
      <c r="S99" s="72" t="str">
        <f t="shared" si="9"/>
        <v/>
      </c>
    </row>
    <row r="100" spans="1:19" ht="15.75" customHeight="1">
      <c r="A100" s="506"/>
      <c r="B100" s="51" t="str">
        <f>IF(ISBLANK(A100),"",VLOOKUP(A100,Management!$A$11:$C$25,2,0))</f>
        <v/>
      </c>
      <c r="C100" s="433"/>
      <c r="D100" s="421"/>
      <c r="E100" s="433"/>
      <c r="F100" s="434"/>
      <c r="G100" s="95" t="str">
        <f t="shared" si="3"/>
        <v/>
      </c>
      <c r="H100" s="435"/>
      <c r="I100" s="434"/>
      <c r="J100" s="95" t="str">
        <f t="shared" si="4"/>
        <v/>
      </c>
      <c r="K100" s="81"/>
      <c r="L100" s="362"/>
      <c r="M100" s="256" t="str">
        <f t="shared" si="8"/>
        <v/>
      </c>
      <c r="N100" s="184" t="str">
        <f>IF(OR(ISBLANK($D100),ISBLANK($K100),ISBLANK($L100)),"",IF($L100="0–9 km",0,IF(LEFT($D100,18)="Long-term teaching",VLOOKUP($K100,Subsistence,2,0)*14+VLOOKUP($K100,Subsistence,3,0)*46+VLOOKUP($K100,Subsistence,4,0)*($F100-60),IF(LEFT($D100,18)="Short-term joint s",IF($F100&lt;15,Ceilings!$S$3*$F100,Ceilings!$S$3*14+Ceilings!$S$4*($F100-14)),IF($F100&lt;15,Ceilings!$S$6*$F100,Ceilings!$S$6*14+Ceilings!$S$7*($F100-14))))))</f>
        <v/>
      </c>
      <c r="O100" s="185" t="str">
        <f>IF(OR(ISBLANK(D100),ISBLANK(H100),ISBLANK(K100),ISBLANK(L100)),"",IF(L100="0–9 km",0,IF(I100&lt;15,Ceilings!$S$3*I100,Ceilings!$S$3*14+Ceilings!$S$4*(I100-14))))</f>
        <v/>
      </c>
      <c r="P100" s="183" t="str">
        <f t="shared" si="11"/>
        <v/>
      </c>
      <c r="Q100" s="436"/>
      <c r="R100" s="266" t="str">
        <f>IF(OR(ISBLANK($D100),ISBLANK($K100),ISBLANK(Q100)),"",Ceilings!$V$3*Q100)</f>
        <v/>
      </c>
      <c r="S100" s="72" t="str">
        <f t="shared" si="9"/>
        <v/>
      </c>
    </row>
    <row r="101" spans="1:19" ht="15.75" customHeight="1">
      <c r="A101" s="506"/>
      <c r="B101" s="51" t="str">
        <f>IF(ISBLANK(A101),"",VLOOKUP(A101,Management!$A$11:$C$25,2,0))</f>
        <v/>
      </c>
      <c r="C101" s="433"/>
      <c r="D101" s="421"/>
      <c r="E101" s="433"/>
      <c r="F101" s="434"/>
      <c r="G101" s="95" t="str">
        <f t="shared" si="3"/>
        <v/>
      </c>
      <c r="H101" s="435"/>
      <c r="I101" s="434"/>
      <c r="J101" s="95" t="str">
        <f t="shared" si="4"/>
        <v/>
      </c>
      <c r="K101" s="81"/>
      <c r="L101" s="362"/>
      <c r="M101" s="256" t="str">
        <f t="shared" si="8"/>
        <v/>
      </c>
      <c r="N101" s="184" t="str">
        <f>IF(OR(ISBLANK($D101),ISBLANK($K101),ISBLANK($L101)),"",IF($L101="0–9 km",0,IF(LEFT($D101,18)="Long-term teaching",VLOOKUP($K101,Subsistence,2,0)*14+VLOOKUP($K101,Subsistence,3,0)*46+VLOOKUP($K101,Subsistence,4,0)*($F101-60),IF(LEFT($D101,18)="Short-term joint s",IF($F101&lt;15,Ceilings!$S$3*$F101,Ceilings!$S$3*14+Ceilings!$S$4*($F101-14)),IF($F101&lt;15,Ceilings!$S$6*$F101,Ceilings!$S$6*14+Ceilings!$S$7*($F101-14))))))</f>
        <v/>
      </c>
      <c r="O101" s="185" t="str">
        <f>IF(OR(ISBLANK(D101),ISBLANK(H101),ISBLANK(K101),ISBLANK(L101)),"",IF(L101="0–9 km",0,IF(I101&lt;15,Ceilings!$S$3*I101,Ceilings!$S$3*14+Ceilings!$S$4*(I101-14))))</f>
        <v/>
      </c>
      <c r="P101" s="183" t="str">
        <f t="shared" si="11"/>
        <v/>
      </c>
      <c r="Q101" s="436"/>
      <c r="R101" s="266" t="str">
        <f>IF(OR(ISBLANK($D101),ISBLANK($K101),ISBLANK(Q101)),"",Ceilings!$V$3*Q101)</f>
        <v/>
      </c>
      <c r="S101" s="72" t="str">
        <f t="shared" si="9"/>
        <v/>
      </c>
    </row>
    <row r="102" spans="1:19" ht="15.75" customHeight="1">
      <c r="A102" s="506"/>
      <c r="B102" s="51" t="str">
        <f>IF(ISBLANK(A102),"",VLOOKUP(A102,Management!$A$11:$C$25,2,0))</f>
        <v/>
      </c>
      <c r="C102" s="433"/>
      <c r="D102" s="421"/>
      <c r="E102" s="433"/>
      <c r="F102" s="434"/>
      <c r="G102" s="95" t="str">
        <f t="shared" si="3"/>
        <v/>
      </c>
      <c r="H102" s="435"/>
      <c r="I102" s="434"/>
      <c r="J102" s="95" t="str">
        <f t="shared" si="4"/>
        <v/>
      </c>
      <c r="K102" s="81"/>
      <c r="L102" s="362"/>
      <c r="M102" s="256" t="str">
        <f t="shared" si="8"/>
        <v/>
      </c>
      <c r="N102" s="184" t="str">
        <f>IF(OR(ISBLANK($D102),ISBLANK($K102),ISBLANK($L102)),"",IF($L102="0–9 km",0,IF(LEFT($D102,18)="Long-term teaching",VLOOKUP($K102,Subsistence,2,0)*14+VLOOKUP($K102,Subsistence,3,0)*46+VLOOKUP($K102,Subsistence,4,0)*($F102-60),IF(LEFT($D102,18)="Short-term joint s",IF($F102&lt;15,Ceilings!$S$3*$F102,Ceilings!$S$3*14+Ceilings!$S$4*($F102-14)),IF($F102&lt;15,Ceilings!$S$6*$F102,Ceilings!$S$6*14+Ceilings!$S$7*($F102-14))))))</f>
        <v/>
      </c>
      <c r="O102" s="185" t="str">
        <f>IF(OR(ISBLANK(D102),ISBLANK(H102),ISBLANK(K102),ISBLANK(L102)),"",IF(L102="0–9 km",0,IF(I102&lt;15,Ceilings!$S$3*I102,Ceilings!$S$3*14+Ceilings!$S$4*(I102-14))))</f>
        <v/>
      </c>
      <c r="P102" s="183" t="str">
        <f t="shared" si="11"/>
        <v/>
      </c>
      <c r="Q102" s="436"/>
      <c r="R102" s="266" t="str">
        <f>IF(OR(ISBLANK($D102),ISBLANK($K102),ISBLANK(Q102)),"",Ceilings!$V$3*Q102)</f>
        <v/>
      </c>
      <c r="S102" s="72" t="str">
        <f t="shared" si="9"/>
        <v/>
      </c>
    </row>
    <row r="103" spans="1:19" ht="15.75" customHeight="1">
      <c r="A103" s="506"/>
      <c r="B103" s="51" t="str">
        <f>IF(ISBLANK(A103),"",VLOOKUP(A103,Management!$A$11:$C$25,2,0))</f>
        <v/>
      </c>
      <c r="C103" s="433"/>
      <c r="D103" s="421"/>
      <c r="E103" s="433"/>
      <c r="F103" s="434"/>
      <c r="G103" s="95" t="str">
        <f t="shared" si="3"/>
        <v/>
      </c>
      <c r="H103" s="435"/>
      <c r="I103" s="434"/>
      <c r="J103" s="95" t="str">
        <f t="shared" si="4"/>
        <v/>
      </c>
      <c r="K103" s="81"/>
      <c r="L103" s="362"/>
      <c r="M103" s="256" t="str">
        <f>IF(ISBLANK(L103),"",(E103+H103)*VLOOKUP(L103,TravelGrant,2,0))</f>
        <v/>
      </c>
      <c r="N103" s="184" t="str">
        <f>IF(OR(ISBLANK($D103),ISBLANK($K103),ISBLANK($L103)),"",IF($L103="0–9 km",0,IF(LEFT($D103,18)="Long-term teaching",VLOOKUP($K103,Subsistence,2,0)*14+VLOOKUP($K103,Subsistence,3,0)*46+VLOOKUP($K103,Subsistence,4,0)*($F103-60),IF(LEFT($D103,18)="Short-term joint s",IF($F103&lt;15,Ceilings!$S$3*$F103,Ceilings!$S$3*14+Ceilings!$S$4*($F103-14)),IF($F103&lt;15,Ceilings!$S$6*$F103,Ceilings!$S$6*14+Ceilings!$S$7*($F103-14))))))</f>
        <v/>
      </c>
      <c r="O103" s="185" t="str">
        <f>IF(OR(ISBLANK(D103),ISBLANK(H103),ISBLANK(K103),ISBLANK(L103)),"",IF(L103="0–9 km",0,IF(I103&lt;15,Ceilings!$S$3*I103,Ceilings!$S$3*14+Ceilings!$S$4*(I103-14))))</f>
        <v/>
      </c>
      <c r="P103" s="183" t="str">
        <f t="shared" si="11"/>
        <v/>
      </c>
      <c r="Q103" s="436"/>
      <c r="R103" s="266" t="str">
        <f>IF(OR(ISBLANK($D103),ISBLANK($K103),ISBLANK(Q103)),"",Ceilings!$V$3*Q103)</f>
        <v/>
      </c>
      <c r="S103" s="72" t="str">
        <f t="shared" si="9"/>
        <v/>
      </c>
    </row>
    <row r="104" spans="1:19" ht="15.75" customHeight="1">
      <c r="A104" s="506"/>
      <c r="B104" s="51" t="str">
        <f>IF(ISBLANK(A104),"",VLOOKUP(A104,Management!$A$11:$C$25,2,0))</f>
        <v/>
      </c>
      <c r="C104" s="433"/>
      <c r="D104" s="421"/>
      <c r="E104" s="433"/>
      <c r="F104" s="434"/>
      <c r="G104" s="95" t="str">
        <f t="shared" si="3"/>
        <v/>
      </c>
      <c r="H104" s="435"/>
      <c r="I104" s="434"/>
      <c r="J104" s="95" t="str">
        <f t="shared" si="4"/>
        <v/>
      </c>
      <c r="K104" s="81"/>
      <c r="L104" s="362"/>
      <c r="M104" s="256" t="str">
        <f>IF(ISBLANK(L104),"",(E104+H104)*VLOOKUP(L104,TravelGrant,2,0))</f>
        <v/>
      </c>
      <c r="N104" s="184" t="str">
        <f>IF(OR(ISBLANK($D104),ISBLANK($K104),ISBLANK($L104)),"",IF($L104="0–9 km",0,IF(LEFT($D104,18)="Long-term teaching",VLOOKUP($K104,Subsistence,2,0)*14+VLOOKUP($K104,Subsistence,3,0)*46+VLOOKUP($K104,Subsistence,4,0)*($F104-60),IF(LEFT($D104,18)="Short-term joint s",IF($F104&lt;15,Ceilings!$S$3*$F104,Ceilings!$S$3*14+Ceilings!$S$4*($F104-14)),IF($F104&lt;15,Ceilings!$S$6*$F104,Ceilings!$S$6*14+Ceilings!$S$7*($F104-14))))))</f>
        <v/>
      </c>
      <c r="O104" s="185" t="str">
        <f>IF(OR(ISBLANK(D104),ISBLANK(H104),ISBLANK(K104),ISBLANK(L104)),"",IF(L104="0–9 km",0,IF(I104&lt;15,Ceilings!$S$3*I104,Ceilings!$S$3*14+Ceilings!$S$4*(I104-14))))</f>
        <v/>
      </c>
      <c r="P104" s="183" t="str">
        <f t="shared" si="11"/>
        <v/>
      </c>
      <c r="Q104" s="436"/>
      <c r="R104" s="266" t="str">
        <f>IF(OR(ISBLANK($D104),ISBLANK($K104),ISBLANK(Q104)),"",Ceilings!$V$3*Q104)</f>
        <v/>
      </c>
      <c r="S104" s="72" t="str">
        <f t="shared" si="9"/>
        <v/>
      </c>
    </row>
    <row r="105" spans="1:19" ht="15.75" customHeight="1">
      <c r="A105" s="506"/>
      <c r="B105" s="51" t="str">
        <f>IF(ISBLANK(A105),"",VLOOKUP(A105,Management!$A$11:$C$25,2,0))</f>
        <v/>
      </c>
      <c r="C105" s="433"/>
      <c r="D105" s="421"/>
      <c r="E105" s="433"/>
      <c r="F105" s="434"/>
      <c r="G105" s="95" t="str">
        <f t="shared" si="3"/>
        <v/>
      </c>
      <c r="H105" s="435"/>
      <c r="I105" s="434"/>
      <c r="J105" s="95" t="str">
        <f t="shared" si="4"/>
        <v/>
      </c>
      <c r="K105" s="81"/>
      <c r="L105" s="362"/>
      <c r="M105" s="256" t="str">
        <f>IF(ISBLANK(L105),"",(E105+H105)*VLOOKUP(L105,TravelGrant,2,0))</f>
        <v/>
      </c>
      <c r="N105" s="184" t="str">
        <f>IF(OR(ISBLANK($D105),ISBLANK($K105),ISBLANK($L105)),"",IF($L105="0–9 km",0,IF(LEFT($D105,18)="Long-term teaching",VLOOKUP($K105,Subsistence,2,0)*14+VLOOKUP($K105,Subsistence,3,0)*46+VLOOKUP($K105,Subsistence,4,0)*($F105-60),IF(LEFT($D105,18)="Short-term joint s",IF($F105&lt;15,Ceilings!$S$3*$F105,Ceilings!$S$3*14+Ceilings!$S$4*($F105-14)),IF($F105&lt;15,Ceilings!$S$6*$F105,Ceilings!$S$6*14+Ceilings!$S$7*($F105-14))))))</f>
        <v/>
      </c>
      <c r="O105" s="185" t="str">
        <f>IF(OR(ISBLANK(D105),ISBLANK(H105),ISBLANK(K105),ISBLANK(L105)),"",IF(L105="0–9 km",0,IF(I105&lt;15,Ceilings!$S$3*I105,Ceilings!$S$3*14+Ceilings!$S$4*(I105-14))))</f>
        <v/>
      </c>
      <c r="P105" s="183" t="str">
        <f t="shared" si="11"/>
        <v/>
      </c>
      <c r="Q105" s="436"/>
      <c r="R105" s="266" t="str">
        <f>IF(OR(ISBLANK($D105),ISBLANK($K105),ISBLANK(Q105)),"",Ceilings!$V$3*Q105)</f>
        <v/>
      </c>
      <c r="S105" s="72" t="str">
        <f t="shared" si="9"/>
        <v/>
      </c>
    </row>
    <row r="106" spans="1:19" ht="15.75" customHeight="1" thickBot="1">
      <c r="A106" s="507"/>
      <c r="B106" s="52" t="str">
        <f>IF(ISBLANK(A106),"",VLOOKUP(A106,Management!$A$11:$C$25,2,0))</f>
        <v/>
      </c>
      <c r="C106" s="442"/>
      <c r="D106" s="422"/>
      <c r="E106" s="442"/>
      <c r="F106" s="443"/>
      <c r="G106" s="444" t="str">
        <f t="shared" si="3"/>
        <v/>
      </c>
      <c r="H106" s="445"/>
      <c r="I106" s="443"/>
      <c r="J106" s="444" t="str">
        <f t="shared" si="4"/>
        <v/>
      </c>
      <c r="K106" s="446"/>
      <c r="L106" s="447"/>
      <c r="M106" s="448" t="str">
        <f>IF(ISBLANK(L106),"",(E106+H106)*VLOOKUP(L106,TravelGrant,2,0))</f>
        <v/>
      </c>
      <c r="N106" s="449" t="str">
        <f>IF(OR(ISBLANK($D106),ISBLANK($K106),ISBLANK($L106)),"",IF($L106="0–9 km",0,IF(LEFT($D106,18)="Long-term teaching",VLOOKUP($K106,Subsistence,2,0)*14+VLOOKUP($K106,Subsistence,3,0)*46+VLOOKUP($K106,Subsistence,4,0)*($F106-60),IF(LEFT($D106,18)="Short-term joint s",IF($F106&lt;15,Ceilings!$S$3*$F106,Ceilings!$S$3*14+Ceilings!$S$4*($F106-14)),IF($F106&lt;15,Ceilings!$S$6*$F106,Ceilings!$S$6*14+Ceilings!$S$7*($F106-14))))))</f>
        <v/>
      </c>
      <c r="O106" s="450" t="str">
        <f>IF(OR(ISBLANK(D106),ISBLANK(H106),ISBLANK(K106),ISBLANK(L106)),"",IF(L106="0–9 km",0,IF(I106&lt;15,Ceilings!$S$3*I106,Ceilings!$S$3*14+Ceilings!$S$4*(I106-14))))</f>
        <v/>
      </c>
      <c r="P106" s="451" t="str">
        <f t="shared" si="11"/>
        <v/>
      </c>
      <c r="Q106" s="452"/>
      <c r="R106" s="267" t="str">
        <f>IF(OR(ISBLANK($D106),ISBLANK($K106),ISBLANK(Q106)),"",Ceilings!$V$3*Q106)</f>
        <v/>
      </c>
      <c r="S106" s="76" t="str">
        <f t="shared" si="9"/>
        <v/>
      </c>
    </row>
    <row r="107" spans="1:19">
      <c r="E107" s="41">
        <f>SUM(E7:E106)</f>
        <v>0</v>
      </c>
      <c r="H107" s="41">
        <f>SUM(H7:H106)</f>
        <v>0</v>
      </c>
      <c r="Q107" s="41"/>
    </row>
  </sheetData>
  <sheetProtection password="B516" sheet="1" sort="0" autoFilter="0"/>
  <mergeCells count="18">
    <mergeCell ref="E1:H2"/>
    <mergeCell ref="J1:R1"/>
    <mergeCell ref="B2:C2"/>
    <mergeCell ref="J2:R2"/>
    <mergeCell ref="S4:S5"/>
    <mergeCell ref="F4:G5"/>
    <mergeCell ref="H4:H5"/>
    <mergeCell ref="I4:J5"/>
    <mergeCell ref="K4:K5"/>
    <mergeCell ref="L4:L5"/>
    <mergeCell ref="M4:M5"/>
    <mergeCell ref="N4:P4"/>
    <mergeCell ref="Q4:R4"/>
    <mergeCell ref="A4:A5"/>
    <mergeCell ref="B4:B5"/>
    <mergeCell ref="C4:C5"/>
    <mergeCell ref="D4:D5"/>
    <mergeCell ref="E4:E5"/>
  </mergeCells>
  <phoneticPr fontId="7" type="noConversion"/>
  <conditionalFormatting sqref="Q7:Q106">
    <cfRule type="expression" dxfId="18" priority="8" stopIfTrue="1">
      <formula>LEFT($D7,4)="Long"</formula>
    </cfRule>
  </conditionalFormatting>
  <conditionalFormatting sqref="H7:H106">
    <cfRule type="expression" dxfId="17" priority="4" stopIfTrue="1">
      <formula>LEFT($D7,18)="Short-term blended"</formula>
    </cfRule>
  </conditionalFormatting>
  <conditionalFormatting sqref="K7:K106">
    <cfRule type="expression" priority="1" stopIfTrue="1">
      <formula>ISBLANK(K7)</formula>
    </cfRule>
    <cfRule type="expression" priority="2" stopIfTrue="1">
      <formula>LEFT($D7,16)="Short term joint"</formula>
    </cfRule>
    <cfRule type="cellIs" dxfId="16" priority="3" stopIfTrue="1" operator="equal">
      <formula>$B7</formula>
    </cfRule>
  </conditionalFormatting>
  <dataValidations count="9">
    <dataValidation type="custom" showInputMessage="1" showErrorMessage="1" sqref="Q7:Q106">
      <formula1>LEFT($D7,4)="Long"</formula1>
    </dataValidation>
    <dataValidation type="custom" allowBlank="1" showInputMessage="1" showErrorMessage="1" error="It is not possible greater than for participants." sqref="I7:I106">
      <formula1>I7&lt;=F7</formula1>
    </dataValidation>
    <dataValidation type="list" allowBlank="1" showInputMessage="1" showErrorMessage="1" sqref="K7:K106">
      <formula1>CountriesofPs</formula1>
    </dataValidation>
    <dataValidation type="list" allowBlank="1" showInputMessage="1" showErrorMessage="1" sqref="A7:A106">
      <formula1>Partners</formula1>
    </dataValidation>
    <dataValidation type="list" allowBlank="1" showInputMessage="1" showErrorMessage="1" sqref="D7:D106">
      <formula1>IF(ISNA(MATCH(B7,PCountries,0)),Activity_t,A_Activity_t)</formula1>
    </dataValidation>
    <dataValidation type="list" allowBlank="1" showInputMessage="1" showErrorMessage="1" sqref="L7:L106">
      <formula1>Distances</formula1>
    </dataValidation>
    <dataValidation allowBlank="1" error="Long-term teaching or training assignments &lt; 367 days, otherwise between 5 and 60 days." sqref="J7:J106 G7:G106"/>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 type="custom" showInputMessage="1" showErrorMessage="1" sqref="H7:H106">
      <formula1>LEFT($D7,18)="Short-term blended"</formula1>
    </dataValidation>
  </dataValidations>
  <printOptions horizontalCentered="1"/>
  <pageMargins left="0.7" right="0.7" top="0.75" bottom="0.75" header="0.3" footer="0.3"/>
  <pageSetup paperSize="9" scale="54" fitToHeight="4" orientation="landscape" r:id="rId1"/>
  <headerFooter scaleWithDoc="0">
    <oddHeader>&amp;C&amp;11 2020 - C2  E+ KA226 - HED&amp;RVersion: 2020.09.08. - TKA</oddHeader>
    <oddFooter>&amp;C&amp;"Arial,Félkövér"&amp;A</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X107"/>
  <sheetViews>
    <sheetView zoomScale="85" zoomScaleNormal="85" zoomScalePageLayoutView="82" workbookViewId="0">
      <selection activeCell="I20" sqref="I20"/>
    </sheetView>
  </sheetViews>
  <sheetFormatPr defaultColWidth="8.85546875" defaultRowHeight="12.75"/>
  <cols>
    <col min="1" max="1" width="37.140625" style="53" customWidth="1"/>
    <col min="2" max="2" width="22.28515625" style="54" customWidth="1"/>
    <col min="3" max="3" width="6.85546875" style="41" bestFit="1" customWidth="1"/>
    <col min="4" max="4" width="38.140625" style="55" customWidth="1"/>
    <col min="5" max="5" width="10.42578125" style="41" bestFit="1" customWidth="1"/>
    <col min="6" max="6" width="5.28515625" style="41" customWidth="1"/>
    <col min="7" max="7" width="5" style="41" bestFit="1" customWidth="1"/>
    <col min="8" max="8" width="10.42578125" style="41" customWidth="1"/>
    <col min="9" max="9" width="5.28515625" style="41" customWidth="1"/>
    <col min="10" max="10" width="5.85546875" style="41" customWidth="1"/>
    <col min="11" max="11" width="8.42578125" style="49" customWidth="1"/>
    <col min="12" max="12" width="17.28515625" style="56" bestFit="1" customWidth="1"/>
    <col min="13" max="13" width="10" style="42" bestFit="1" customWidth="1"/>
    <col min="14" max="15" width="10.7109375" style="42" customWidth="1"/>
    <col min="16" max="16" width="10.42578125" style="42" bestFit="1" customWidth="1"/>
    <col min="17" max="17" width="10.140625" style="42" bestFit="1" customWidth="1"/>
    <col min="18" max="18" width="9.140625" style="42" bestFit="1" customWidth="1"/>
    <col min="19" max="19" width="11.42578125" style="42" bestFit="1" customWidth="1"/>
    <col min="20" max="16384" width="8.85546875" style="49"/>
  </cols>
  <sheetData>
    <row r="1" spans="1:258" s="367" customFormat="1" ht="15.75">
      <c r="A1" s="142" t="s">
        <v>389</v>
      </c>
      <c r="B1" s="143"/>
      <c r="C1" s="365"/>
      <c r="D1" s="366"/>
      <c r="E1" s="611" t="s">
        <v>468</v>
      </c>
      <c r="F1" s="612"/>
      <c r="G1" s="612"/>
      <c r="H1" s="613"/>
      <c r="J1" s="617" t="s">
        <v>398</v>
      </c>
      <c r="K1" s="618"/>
      <c r="L1" s="618"/>
      <c r="M1" s="618"/>
      <c r="N1" s="618"/>
      <c r="O1" s="618"/>
      <c r="P1" s="618"/>
      <c r="Q1" s="618"/>
      <c r="R1" s="61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610" t="s">
        <v>452</v>
      </c>
      <c r="C2" s="610"/>
      <c r="E2" s="614"/>
      <c r="F2" s="615"/>
      <c r="G2" s="615"/>
      <c r="H2" s="616"/>
      <c r="J2" s="620"/>
      <c r="K2" s="621"/>
      <c r="L2" s="621"/>
      <c r="M2" s="621"/>
      <c r="N2" s="621"/>
      <c r="O2" s="621"/>
      <c r="P2" s="621"/>
      <c r="Q2" s="621"/>
      <c r="R2" s="622"/>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00" t="s">
        <v>143</v>
      </c>
      <c r="E4" s="571" t="s">
        <v>381</v>
      </c>
      <c r="F4" s="606" t="s">
        <v>402</v>
      </c>
      <c r="G4" s="607"/>
      <c r="H4" s="571" t="s">
        <v>380</v>
      </c>
      <c r="I4" s="602" t="s">
        <v>403</v>
      </c>
      <c r="J4" s="603"/>
      <c r="K4" s="594" t="s">
        <v>448</v>
      </c>
      <c r="L4" s="592" t="s">
        <v>120</v>
      </c>
      <c r="M4" s="590" t="s">
        <v>145</v>
      </c>
      <c r="N4" s="598" t="s">
        <v>328</v>
      </c>
      <c r="O4" s="599"/>
      <c r="P4" s="590"/>
      <c r="Q4" s="596" t="s">
        <v>326</v>
      </c>
      <c r="R4" s="597"/>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26.25" thickBot="1">
      <c r="A5" s="566"/>
      <c r="B5" s="568"/>
      <c r="C5" s="572"/>
      <c r="D5" s="601"/>
      <c r="E5" s="572"/>
      <c r="F5" s="608"/>
      <c r="G5" s="609"/>
      <c r="H5" s="572"/>
      <c r="I5" s="604"/>
      <c r="J5" s="605"/>
      <c r="K5" s="595"/>
      <c r="L5" s="593"/>
      <c r="M5" s="591"/>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157"/>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c r="C7" s="429"/>
      <c r="D7" s="57"/>
      <c r="E7" s="429"/>
      <c r="F7" s="430"/>
      <c r="G7" s="94" t="str">
        <f>IF(ISBLANK($D7),"","days")</f>
        <v/>
      </c>
      <c r="H7" s="431"/>
      <c r="I7" s="430"/>
      <c r="J7" s="94" t="str">
        <f>IF(ISBLANK($D7),"","days")</f>
        <v/>
      </c>
      <c r="K7" s="80"/>
      <c r="L7" s="361"/>
      <c r="M7" s="252" t="str">
        <f t="shared" ref="M7:M38" si="0">IF(ISBLANK(L7),"",(E7+H7)*VLOOKUP(L7,TravelGrant,2,0))</f>
        <v/>
      </c>
      <c r="N7" s="181" t="str">
        <f>IF(OR(ISBLANK($D7),ISBLANK($K7),ISBLANK($L7)),"",IF($L7="0–9 km",0,IF(LEFT($D7,15)="Long-term teach",VLOOKUP($K7,Subsistence,2,0)*14+VLOOKUP($K7,Subsistence,3,0)*46+VLOOKUP($K7,Subsistence,4,0)*($F7-60),IF(LEFT($D7,15)="Short-term join",IF($F7&lt;15,Ceilings!$S$3*$F7,Ceilings!$S$3*14+Ceilings!$S$4*($F7-14)),IF(LEFT($D7,15)="Long-term study",VLOOKUP($K7,Subsistence,5,0)*ROUND($F7/30,0),IF($F7&lt;15,Ceilings!$S$6*$F7,Ceilings!$S$6*14+Ceilings!$S$7*($F7-14)))))))</f>
        <v/>
      </c>
      <c r="O7" s="182" t="str">
        <f>IF(OR(ISBLANK(D7),ISBLANK(H7),ISBLANK(K7),ISBLANK(L7)),"",IF(L7="0–9 km",0,IF(I7&lt;15,Ceilings!$S$3*I7,Ceilings!$S$3*14+Ceilings!$S$4*(I7-14))))</f>
        <v/>
      </c>
      <c r="P7" s="180" t="str">
        <f>IF(N7="","",$E7*N7+IF(O7="",0,$H7*O7))</f>
        <v/>
      </c>
      <c r="Q7" s="432"/>
      <c r="R7" s="265" t="str">
        <f>IF(OR(ISBLANK($D7),ISBLANK($K7),ISBLANK(Q7)),"",Ceilings!$V$3*Q7)</f>
        <v/>
      </c>
      <c r="S7" s="174" t="str">
        <f t="shared" ref="S7:S38" si="1">IF(ISBLANK($A7),"",IF(OR(ISBLANK($C7),ISBLANK($D7),ISBLANK($E7),ISBLANK($K7)),"Missing data",SUM($M7,$P7,$R7)))</f>
        <v/>
      </c>
    </row>
    <row r="8" spans="1:258" ht="15.75" customHeight="1">
      <c r="A8" s="506"/>
      <c r="B8" s="51" t="str">
        <f>IF(ISBLANK(A8),"",VLOOKUP(A8,Management!$A$11:$C$25,2,0))</f>
        <v/>
      </c>
      <c r="C8" s="433"/>
      <c r="D8" s="421"/>
      <c r="E8" s="433"/>
      <c r="F8" s="434"/>
      <c r="G8" s="95" t="str">
        <f t="shared" ref="G8:G53" si="2">IF(ISBLANK($D8),"","days")</f>
        <v/>
      </c>
      <c r="H8" s="435"/>
      <c r="I8" s="434"/>
      <c r="J8" s="95" t="str">
        <f t="shared" ref="J8:J53" si="3">IF(ISBLANK($D8),"","days")</f>
        <v/>
      </c>
      <c r="K8" s="81"/>
      <c r="L8" s="362"/>
      <c r="M8" s="256" t="str">
        <f t="shared" si="0"/>
        <v/>
      </c>
      <c r="N8" s="184" t="str">
        <f>IF(OR(ISBLANK($D8),ISBLANK($K8),ISBLANK($L8)),"",IF($L8="0–9 km",0,IF(LEFT($D8,15)="Long-term teach",VLOOKUP($K8,Subsistence,2,0)*14+VLOOKUP($K8,Subsistence,3,0)*46+VLOOKUP($K8,Subsistence,4,0)*($F8-60),IF(LEFT($D8,15)="Short-term join",IF($F8&lt;15,Ceilings!$S$3*$F8,Ceilings!$S$3*14+Ceilings!$S$4*($F8-14)),IF(LEFT($D8,15)="Long-term study",VLOOKUP($K8,Subsistence,5,0)*ROUND($F8/30,0),IF($F8&lt;15,Ceilings!$S$6*$F8,Ceilings!$S$6*14+Ceilings!$S$7*($F8-14)))))))</f>
        <v/>
      </c>
      <c r="O8" s="185" t="str">
        <f>IF(OR(ISBLANK(D8),ISBLANK(H8),ISBLANK(K8),ISBLANK(L8)),"",IF(L8="0–9 km",0,IF(I8&lt;15,Ceilings!$S$3*I8,Ceilings!$S$3*14+Ceilings!$S$4*(I8-14))))</f>
        <v/>
      </c>
      <c r="P8" s="183" t="str">
        <f t="shared" ref="P8:P53" si="4">IF(N8="","",$E8*N8+IF(O8="",0,$H8*O8))</f>
        <v/>
      </c>
      <c r="Q8" s="436"/>
      <c r="R8" s="266" t="str">
        <f>IF(OR(ISBLANK($D8),ISBLANK($K8),ISBLANK(Q8)),"",Ceilings!$V$3*Q8)</f>
        <v/>
      </c>
      <c r="S8" s="72" t="str">
        <f t="shared" si="1"/>
        <v/>
      </c>
    </row>
    <row r="9" spans="1:258" ht="15.75" customHeight="1">
      <c r="A9" s="506"/>
      <c r="B9" s="51" t="str">
        <f>IF(ISBLANK(A9),"",VLOOKUP(A9,Management!$A$11:$C$25,2,0))</f>
        <v/>
      </c>
      <c r="C9" s="433"/>
      <c r="D9" s="421"/>
      <c r="E9" s="433"/>
      <c r="F9" s="434"/>
      <c r="G9" s="95" t="str">
        <f t="shared" si="2"/>
        <v/>
      </c>
      <c r="H9" s="435"/>
      <c r="I9" s="434"/>
      <c r="J9" s="95" t="str">
        <f t="shared" si="3"/>
        <v/>
      </c>
      <c r="K9" s="81"/>
      <c r="L9" s="362"/>
      <c r="M9" s="256" t="str">
        <f t="shared" si="0"/>
        <v/>
      </c>
      <c r="N9" s="184" t="str">
        <f>IF(OR(ISBLANK($D9),ISBLANK($K9),ISBLANK($L9)),"",IF($L9="0–9 km",0,IF(LEFT($D9,15)="Long-term teach",VLOOKUP($K9,Subsistence,2,0)*14+VLOOKUP($K9,Subsistence,3,0)*46+VLOOKUP($K9,Subsistence,4,0)*($F9-60),IF(LEFT($D9,15)="Short-term join",IF($F9&lt;15,Ceilings!$S$3*$F9,Ceilings!$S$3*14+Ceilings!$S$4*($F9-14)),IF(LEFT($D9,15)="Long-term study",VLOOKUP($K9,Subsistence,5,0)*ROUND($F9/30,0),IF($F9&lt;15,Ceilings!$S$6*$F9,Ceilings!$S$6*14+Ceilings!$S$7*($F9-14)))))))</f>
        <v/>
      </c>
      <c r="O9" s="185" t="str">
        <f>IF(OR(ISBLANK(D9),ISBLANK(H9),ISBLANK(K9),ISBLANK(L9)),"",IF(L9="0–9 km",0,IF(I9&lt;15,Ceilings!$S$3*I9,Ceilings!$S$3*14+Ceilings!$S$4*(I9-14))))</f>
        <v/>
      </c>
      <c r="P9" s="183" t="str">
        <f t="shared" si="4"/>
        <v/>
      </c>
      <c r="Q9" s="436"/>
      <c r="R9" s="266" t="str">
        <f>IF(OR(ISBLANK($D9),ISBLANK($K9),ISBLANK(Q9)),"",Ceilings!$V$3*Q9)</f>
        <v/>
      </c>
      <c r="S9" s="72" t="str">
        <f t="shared" si="1"/>
        <v/>
      </c>
    </row>
    <row r="10" spans="1:258" ht="15.75" customHeight="1">
      <c r="A10" s="506"/>
      <c r="B10" s="51" t="str">
        <f>IF(ISBLANK(A10),"",VLOOKUP(A10,Management!$A$11:$C$25,2,0))</f>
        <v/>
      </c>
      <c r="C10" s="433"/>
      <c r="D10" s="421"/>
      <c r="E10" s="433"/>
      <c r="F10" s="434"/>
      <c r="G10" s="95" t="str">
        <f t="shared" si="2"/>
        <v/>
      </c>
      <c r="H10" s="435"/>
      <c r="I10" s="434"/>
      <c r="J10" s="95" t="str">
        <f t="shared" si="3"/>
        <v/>
      </c>
      <c r="K10" s="81"/>
      <c r="L10" s="362"/>
      <c r="M10" s="256" t="str">
        <f t="shared" si="0"/>
        <v/>
      </c>
      <c r="N10" s="184" t="str">
        <f>IF(OR(ISBLANK($D10),ISBLANK($K10),ISBLANK($L10)),"",IF($L10="0–9 km",0,IF(LEFT($D10,15)="Long-term teach",VLOOKUP($K10,Subsistence,2,0)*14+VLOOKUP($K10,Subsistence,3,0)*46+VLOOKUP($K10,Subsistence,4,0)*($F10-60),IF(LEFT($D10,15)="Short-term join",IF($F10&lt;15,Ceilings!$S$3*$F10,Ceilings!$S$3*14+Ceilings!$S$4*($F10-14)),IF(LEFT($D10,15)="Long-term study",VLOOKUP($K10,Subsistence,5,0)*ROUND($F10/30,0),IF($F10&lt;15,Ceilings!$S$6*$F10,Ceilings!$S$6*14+Ceilings!$S$7*($F10-14)))))))</f>
        <v/>
      </c>
      <c r="O10" s="185" t="str">
        <f>IF(OR(ISBLANK(D10),ISBLANK(H10),ISBLANK(K10),ISBLANK(L10)),"",IF(L10="0–9 km",0,IF(I10&lt;15,Ceilings!$S$3*I10,Ceilings!$S$3*14+Ceilings!$S$4*(I10-14))))</f>
        <v/>
      </c>
      <c r="P10" s="183" t="str">
        <f t="shared" si="4"/>
        <v/>
      </c>
      <c r="Q10" s="436"/>
      <c r="R10" s="266" t="str">
        <f>IF(OR(ISBLANK($D10),ISBLANK($K10),ISBLANK(Q10)),"",Ceilings!$V$3*Q10)</f>
        <v/>
      </c>
      <c r="S10" s="72" t="str">
        <f t="shared" si="1"/>
        <v/>
      </c>
    </row>
    <row r="11" spans="1:258" ht="15.75" customHeight="1">
      <c r="A11" s="506"/>
      <c r="B11" s="51" t="str">
        <f>IF(ISBLANK(A11),"",VLOOKUP(A11,Management!$A$11:$C$25,2,0))</f>
        <v/>
      </c>
      <c r="C11" s="433"/>
      <c r="D11" s="421"/>
      <c r="E11" s="433"/>
      <c r="F11" s="434"/>
      <c r="G11" s="95" t="str">
        <f t="shared" si="2"/>
        <v/>
      </c>
      <c r="H11" s="435"/>
      <c r="I11" s="434"/>
      <c r="J11" s="95" t="str">
        <f t="shared" si="3"/>
        <v/>
      </c>
      <c r="K11" s="81"/>
      <c r="L11" s="362"/>
      <c r="M11" s="256" t="str">
        <f t="shared" si="0"/>
        <v/>
      </c>
      <c r="N11" s="184" t="str">
        <f>IF(OR(ISBLANK($D11),ISBLANK($K11),ISBLANK($L11)),"",IF($L11="0–9 km",0,IF(LEFT($D11,15)="Long-term teach",VLOOKUP($K11,Subsistence,2,0)*14+VLOOKUP($K11,Subsistence,3,0)*46+VLOOKUP($K11,Subsistence,4,0)*($F11-60),IF(LEFT($D11,15)="Short-term join",IF($F11&lt;15,Ceilings!$S$3*$F11,Ceilings!$S$3*14+Ceilings!$S$4*($F11-14)),IF(LEFT($D11,15)="Long-term study",VLOOKUP($K11,Subsistence,5,0)*ROUND($F11/30,0),IF($F11&lt;15,Ceilings!$S$6*$F11,Ceilings!$S$6*14+Ceilings!$S$7*($F11-14)))))))</f>
        <v/>
      </c>
      <c r="O11" s="185" t="str">
        <f>IF(OR(ISBLANK(D11),ISBLANK(H11),ISBLANK(K11),ISBLANK(L11)),"",IF(L11="0–9 km",0,IF(I11&lt;15,Ceilings!$S$3*I11,Ceilings!$S$3*14+Ceilings!$S$4*(I11-14))))</f>
        <v/>
      </c>
      <c r="P11" s="183" t="str">
        <f t="shared" si="4"/>
        <v/>
      </c>
      <c r="Q11" s="436"/>
      <c r="R11" s="266" t="str">
        <f>IF(OR(ISBLANK($D11),ISBLANK($K11),ISBLANK(Q11)),"",Ceilings!$V$3*Q11)</f>
        <v/>
      </c>
      <c r="S11" s="72" t="str">
        <f t="shared" si="1"/>
        <v/>
      </c>
    </row>
    <row r="12" spans="1:258" ht="15.75" customHeight="1">
      <c r="A12" s="506"/>
      <c r="B12" s="51" t="str">
        <f>IF(ISBLANK(A12),"",VLOOKUP(A12,Management!$A$11:$C$25,2,0))</f>
        <v/>
      </c>
      <c r="C12" s="433"/>
      <c r="D12" s="421"/>
      <c r="E12" s="433"/>
      <c r="F12" s="434"/>
      <c r="G12" s="95" t="str">
        <f t="shared" si="2"/>
        <v/>
      </c>
      <c r="H12" s="435"/>
      <c r="I12" s="434"/>
      <c r="J12" s="95" t="str">
        <f t="shared" si="3"/>
        <v/>
      </c>
      <c r="K12" s="81"/>
      <c r="L12" s="362"/>
      <c r="M12" s="256" t="str">
        <f t="shared" si="0"/>
        <v/>
      </c>
      <c r="N12" s="184" t="str">
        <f>IF(OR(ISBLANK($D12),ISBLANK($K12),ISBLANK($L12)),"",IF($L12="0–9 km",0,IF(LEFT($D12,15)="Long-term teach",VLOOKUP($K12,Subsistence,2,0)*14+VLOOKUP($K12,Subsistence,3,0)*46+VLOOKUP($K12,Subsistence,4,0)*($F12-60),IF(LEFT($D12,15)="Short-term join",IF($F12&lt;15,Ceilings!$S$3*$F12,Ceilings!$S$3*14+Ceilings!$S$4*($F12-14)),IF(LEFT($D12,15)="Long-term study",VLOOKUP($K12,Subsistence,5,0)*ROUND($F12/30,0),IF($F12&lt;15,Ceilings!$S$6*$F12,Ceilings!$S$6*14+Ceilings!$S$7*($F12-14)))))))</f>
        <v/>
      </c>
      <c r="O12" s="185" t="str">
        <f>IF(OR(ISBLANK(D12),ISBLANK(H12),ISBLANK(K12),ISBLANK(L12)),"",IF(L12="0–9 km",0,IF(I12&lt;15,Ceilings!$S$3*I12,Ceilings!$S$3*14+Ceilings!$S$4*(I12-14))))</f>
        <v/>
      </c>
      <c r="P12" s="183" t="str">
        <f t="shared" si="4"/>
        <v/>
      </c>
      <c r="Q12" s="436"/>
      <c r="R12" s="266" t="str">
        <f>IF(OR(ISBLANK($D12),ISBLANK($K12),ISBLANK(Q12)),"",Ceilings!$V$3*Q12)</f>
        <v/>
      </c>
      <c r="S12" s="72" t="str">
        <f t="shared" si="1"/>
        <v/>
      </c>
    </row>
    <row r="13" spans="1:258" ht="15.75" customHeight="1">
      <c r="A13" s="506"/>
      <c r="B13" s="51" t="str">
        <f>IF(ISBLANK(A13),"",VLOOKUP(A13,Management!$A$11:$C$25,2,0))</f>
        <v/>
      </c>
      <c r="C13" s="433"/>
      <c r="D13" s="421"/>
      <c r="E13" s="433"/>
      <c r="F13" s="434"/>
      <c r="G13" s="95" t="str">
        <f t="shared" si="2"/>
        <v/>
      </c>
      <c r="H13" s="435"/>
      <c r="I13" s="434"/>
      <c r="J13" s="95" t="str">
        <f t="shared" si="3"/>
        <v/>
      </c>
      <c r="K13" s="81"/>
      <c r="L13" s="362"/>
      <c r="M13" s="256" t="str">
        <f t="shared" si="0"/>
        <v/>
      </c>
      <c r="N13" s="184" t="str">
        <f>IF(OR(ISBLANK($D13),ISBLANK($K13),ISBLANK($L13)),"",IF($L13="0–9 km",0,IF(LEFT($D13,15)="Long-term teach",VLOOKUP($K13,Subsistence,2,0)*14+VLOOKUP($K13,Subsistence,3,0)*46+VLOOKUP($K13,Subsistence,4,0)*($F13-60),IF(LEFT($D13,15)="Short-term join",IF($F13&lt;15,Ceilings!$S$3*$F13,Ceilings!$S$3*14+Ceilings!$S$4*($F13-14)),IF(LEFT($D13,15)="Long-term study",VLOOKUP($K13,Subsistence,5,0)*ROUND($F13/30,0),IF($F13&lt;15,Ceilings!$S$6*$F13,Ceilings!$S$6*14+Ceilings!$S$7*($F13-14)))))))</f>
        <v/>
      </c>
      <c r="O13" s="185" t="str">
        <f>IF(OR(ISBLANK(D13),ISBLANK(H13),ISBLANK(K13),ISBLANK(L13)),"",IF(L13="0–9 km",0,IF(I13&lt;15,Ceilings!$S$3*I13,Ceilings!$S$3*14+Ceilings!$S$4*(I13-14))))</f>
        <v/>
      </c>
      <c r="P13" s="183" t="str">
        <f t="shared" si="4"/>
        <v/>
      </c>
      <c r="Q13" s="436"/>
      <c r="R13" s="266" t="str">
        <f>IF(OR(ISBLANK($D13),ISBLANK($K13),ISBLANK(Q13)),"",Ceilings!$V$3*Q13)</f>
        <v/>
      </c>
      <c r="S13" s="72" t="str">
        <f t="shared" si="1"/>
        <v/>
      </c>
    </row>
    <row r="14" spans="1:258" ht="15.75" customHeight="1">
      <c r="A14" s="506"/>
      <c r="B14" s="51" t="str">
        <f>IF(ISBLANK(A14),"",VLOOKUP(A14,Management!$A$11:$C$25,2,0))</f>
        <v/>
      </c>
      <c r="C14" s="433"/>
      <c r="D14" s="421"/>
      <c r="E14" s="433"/>
      <c r="F14" s="434"/>
      <c r="G14" s="95" t="str">
        <f t="shared" si="2"/>
        <v/>
      </c>
      <c r="H14" s="435"/>
      <c r="I14" s="434"/>
      <c r="J14" s="95" t="str">
        <f t="shared" si="3"/>
        <v/>
      </c>
      <c r="K14" s="81"/>
      <c r="L14" s="362"/>
      <c r="M14" s="256" t="str">
        <f t="shared" si="0"/>
        <v/>
      </c>
      <c r="N14" s="184" t="str">
        <f>IF(OR(ISBLANK($D14),ISBLANK($K14),ISBLANK($L14)),"",IF($L14="0–9 km",0,IF(LEFT($D14,15)="Long-term teach",VLOOKUP($K14,Subsistence,2,0)*14+VLOOKUP($K14,Subsistence,3,0)*46+VLOOKUP($K14,Subsistence,4,0)*($F14-60),IF(LEFT($D14,15)="Short-term join",IF($F14&lt;15,Ceilings!$S$3*$F14,Ceilings!$S$3*14+Ceilings!$S$4*($F14-14)),IF(LEFT($D14,15)="Long-term study",VLOOKUP($K14,Subsistence,5,0)*ROUND($F14/30,0),IF($F14&lt;15,Ceilings!$S$6*$F14,Ceilings!$S$6*14+Ceilings!$S$7*($F14-14)))))))</f>
        <v/>
      </c>
      <c r="O14" s="185" t="str">
        <f>IF(OR(ISBLANK(D14),ISBLANK(H14),ISBLANK(K14),ISBLANK(L14)),"",IF(L14="0–9 km",0,IF(I14&lt;15,Ceilings!$S$3*I14,Ceilings!$S$3*14+Ceilings!$S$4*(I14-14))))</f>
        <v/>
      </c>
      <c r="P14" s="183" t="str">
        <f t="shared" si="4"/>
        <v/>
      </c>
      <c r="Q14" s="436"/>
      <c r="R14" s="266" t="str">
        <f>IF(OR(ISBLANK($D14),ISBLANK($K14),ISBLANK(Q14)),"",Ceilings!$V$3*Q14)</f>
        <v/>
      </c>
      <c r="S14" s="72" t="str">
        <f t="shared" si="1"/>
        <v/>
      </c>
    </row>
    <row r="15" spans="1:258" ht="15.75" customHeight="1">
      <c r="A15" s="506"/>
      <c r="B15" s="51" t="str">
        <f>IF(ISBLANK(A15),"",VLOOKUP(A15,Management!$A$11:$C$25,2,0))</f>
        <v/>
      </c>
      <c r="C15" s="433"/>
      <c r="D15" s="421"/>
      <c r="E15" s="433"/>
      <c r="F15" s="434"/>
      <c r="G15" s="95" t="str">
        <f t="shared" si="2"/>
        <v/>
      </c>
      <c r="H15" s="435"/>
      <c r="I15" s="434"/>
      <c r="J15" s="95" t="str">
        <f t="shared" si="3"/>
        <v/>
      </c>
      <c r="K15" s="81"/>
      <c r="L15" s="362"/>
      <c r="M15" s="256" t="str">
        <f t="shared" si="0"/>
        <v/>
      </c>
      <c r="N15" s="184" t="str">
        <f>IF(OR(ISBLANK($D15),ISBLANK($K15),ISBLANK($L15)),"",IF($L15="0–9 km",0,IF(LEFT($D15,15)="Long-term teach",VLOOKUP($K15,Subsistence,2,0)*14+VLOOKUP($K15,Subsistence,3,0)*46+VLOOKUP($K15,Subsistence,4,0)*($F15-60),IF(LEFT($D15,15)="Short-term join",IF($F15&lt;15,Ceilings!$S$3*$F15,Ceilings!$S$3*14+Ceilings!$S$4*($F15-14)),IF(LEFT($D15,15)="Long-term study",VLOOKUP($K15,Subsistence,5,0)*ROUND($F15/30,0),IF($F15&lt;15,Ceilings!$S$6*$F15,Ceilings!$S$6*14+Ceilings!$S$7*($F15-14)))))))</f>
        <v/>
      </c>
      <c r="O15" s="185" t="str">
        <f>IF(OR(ISBLANK(D15),ISBLANK(H15),ISBLANK(K15),ISBLANK(L15)),"",IF(L15="0–9 km",0,IF(I15&lt;15,Ceilings!$S$3*I15,Ceilings!$S$3*14+Ceilings!$S$4*(I15-14))))</f>
        <v/>
      </c>
      <c r="P15" s="183" t="str">
        <f t="shared" si="4"/>
        <v/>
      </c>
      <c r="Q15" s="436"/>
      <c r="R15" s="266" t="str">
        <f>IF(OR(ISBLANK($D15),ISBLANK($K15),ISBLANK(Q15)),"",Ceilings!$V$3*Q15)</f>
        <v/>
      </c>
      <c r="S15" s="72" t="str">
        <f t="shared" si="1"/>
        <v/>
      </c>
    </row>
    <row r="16" spans="1:258" ht="15.75" customHeight="1">
      <c r="A16" s="506"/>
      <c r="B16" s="51" t="str">
        <f>IF(ISBLANK(A16),"",VLOOKUP(A16,Management!$A$11:$C$25,2,0))</f>
        <v/>
      </c>
      <c r="C16" s="433"/>
      <c r="D16" s="421"/>
      <c r="E16" s="433"/>
      <c r="F16" s="434"/>
      <c r="G16" s="95" t="str">
        <f t="shared" si="2"/>
        <v/>
      </c>
      <c r="H16" s="435"/>
      <c r="I16" s="434"/>
      <c r="J16" s="95" t="str">
        <f t="shared" si="3"/>
        <v/>
      </c>
      <c r="K16" s="81"/>
      <c r="L16" s="362"/>
      <c r="M16" s="256" t="str">
        <f t="shared" si="0"/>
        <v/>
      </c>
      <c r="N16" s="184" t="str">
        <f>IF(OR(ISBLANK($D16),ISBLANK($K16),ISBLANK($L16)),"",IF($L16="0–9 km",0,IF(LEFT($D16,15)="Long-term teach",VLOOKUP($K16,Subsistence,2,0)*14+VLOOKUP($K16,Subsistence,3,0)*46+VLOOKUP($K16,Subsistence,4,0)*($F16-60),IF(LEFT($D16,15)="Short-term join",IF($F16&lt;15,Ceilings!$S$3*$F16,Ceilings!$S$3*14+Ceilings!$S$4*($F16-14)),IF(LEFT($D16,15)="Long-term study",VLOOKUP($K16,Subsistence,5,0)*ROUND($F16/30,0),IF($F16&lt;15,Ceilings!$S$6*$F16,Ceilings!$S$6*14+Ceilings!$S$7*($F16-14)))))))</f>
        <v/>
      </c>
      <c r="O16" s="185" t="str">
        <f>IF(OR(ISBLANK(D16),ISBLANK(H16),ISBLANK(K16),ISBLANK(L16)),"",IF(L16="0–9 km",0,IF(I16&lt;15,Ceilings!$S$3*I16,Ceilings!$S$3*14+Ceilings!$S$4*(I16-14))))</f>
        <v/>
      </c>
      <c r="P16" s="183" t="str">
        <f t="shared" si="4"/>
        <v/>
      </c>
      <c r="Q16" s="436"/>
      <c r="R16" s="266" t="str">
        <f>IF(OR(ISBLANK($D16),ISBLANK($K16),ISBLANK(Q16)),"",Ceilings!$V$3*Q16)</f>
        <v/>
      </c>
      <c r="S16" s="72" t="str">
        <f t="shared" si="1"/>
        <v/>
      </c>
    </row>
    <row r="17" spans="1:19" ht="15.75" customHeight="1">
      <c r="A17" s="506"/>
      <c r="B17" s="51" t="str">
        <f>IF(ISBLANK(A17),"",VLOOKUP(A17,Management!$A$11:$C$25,2,0))</f>
        <v/>
      </c>
      <c r="C17" s="433"/>
      <c r="D17" s="421"/>
      <c r="E17" s="433"/>
      <c r="F17" s="434"/>
      <c r="G17" s="95" t="str">
        <f t="shared" si="2"/>
        <v/>
      </c>
      <c r="H17" s="435"/>
      <c r="I17" s="434"/>
      <c r="J17" s="95" t="str">
        <f t="shared" si="3"/>
        <v/>
      </c>
      <c r="K17" s="81"/>
      <c r="L17" s="362"/>
      <c r="M17" s="256" t="str">
        <f t="shared" si="0"/>
        <v/>
      </c>
      <c r="N17" s="184" t="str">
        <f>IF(OR(ISBLANK($D17),ISBLANK($K17),ISBLANK($L17)),"",IF($L17="0–9 km",0,IF(LEFT($D17,15)="Long-term teach",VLOOKUP($K17,Subsistence,2,0)*14+VLOOKUP($K17,Subsistence,3,0)*46+VLOOKUP($K17,Subsistence,4,0)*($F17-60),IF(LEFT($D17,15)="Short-term join",IF($F17&lt;15,Ceilings!$S$3*$F17,Ceilings!$S$3*14+Ceilings!$S$4*($F17-14)),IF(LEFT($D17,15)="Long-term study",VLOOKUP($K17,Subsistence,5,0)*ROUND($F17/30,0),IF($F17&lt;15,Ceilings!$S$6*$F17,Ceilings!$S$6*14+Ceilings!$S$7*($F17-14)))))))</f>
        <v/>
      </c>
      <c r="O17" s="185" t="str">
        <f>IF(OR(ISBLANK(D17),ISBLANK(H17),ISBLANK(K17),ISBLANK(L17)),"",IF(L17="0–9 km",0,IF(I17&lt;15,Ceilings!$S$3*I17,Ceilings!$S$3*14+Ceilings!$S$4*(I17-14))))</f>
        <v/>
      </c>
      <c r="P17" s="183" t="str">
        <f t="shared" si="4"/>
        <v/>
      </c>
      <c r="Q17" s="436"/>
      <c r="R17" s="266" t="str">
        <f>IF(OR(ISBLANK($D17),ISBLANK($K17),ISBLANK(Q17)),"",Ceilings!$V$3*Q17)</f>
        <v/>
      </c>
      <c r="S17" s="72" t="str">
        <f t="shared" si="1"/>
        <v/>
      </c>
    </row>
    <row r="18" spans="1:19" ht="15.75" customHeight="1">
      <c r="A18" s="506"/>
      <c r="B18" s="51" t="str">
        <f>IF(ISBLANK(A18),"",VLOOKUP(A18,Management!$A$11:$C$25,2,0))</f>
        <v/>
      </c>
      <c r="C18" s="433"/>
      <c r="D18" s="421"/>
      <c r="E18" s="433"/>
      <c r="F18" s="434"/>
      <c r="G18" s="95" t="str">
        <f t="shared" si="2"/>
        <v/>
      </c>
      <c r="H18" s="435"/>
      <c r="I18" s="434"/>
      <c r="J18" s="95" t="str">
        <f t="shared" si="3"/>
        <v/>
      </c>
      <c r="K18" s="81"/>
      <c r="L18" s="362"/>
      <c r="M18" s="256" t="str">
        <f t="shared" si="0"/>
        <v/>
      </c>
      <c r="N18" s="184" t="str">
        <f>IF(OR(ISBLANK($D18),ISBLANK($K18),ISBLANK($L18)),"",IF($L18="0–9 km",0,IF(LEFT($D18,15)="Long-term teach",VLOOKUP($K18,Subsistence,2,0)*14+VLOOKUP($K18,Subsistence,3,0)*46+VLOOKUP($K18,Subsistence,4,0)*($F18-60),IF(LEFT($D18,15)="Short-term join",IF($F18&lt;15,Ceilings!$S$3*$F18,Ceilings!$S$3*14+Ceilings!$S$4*($F18-14)),IF(LEFT($D18,15)="Long-term study",VLOOKUP($K18,Subsistence,5,0)*ROUND($F18/30,0),IF($F18&lt;15,Ceilings!$S$6*$F18,Ceilings!$S$6*14+Ceilings!$S$7*($F18-14)))))))</f>
        <v/>
      </c>
      <c r="O18" s="185" t="str">
        <f>IF(OR(ISBLANK(D18),ISBLANK(H18),ISBLANK(K18),ISBLANK(L18)),"",IF(L18="0–9 km",0,IF(I18&lt;15,Ceilings!$S$3*I18,Ceilings!$S$3*14+Ceilings!$S$4*(I18-14))))</f>
        <v/>
      </c>
      <c r="P18" s="183" t="str">
        <f t="shared" si="4"/>
        <v/>
      </c>
      <c r="Q18" s="436"/>
      <c r="R18" s="266" t="str">
        <f>IF(OR(ISBLANK($D18),ISBLANK($K18),ISBLANK(Q18)),"",Ceilings!$V$3*Q18)</f>
        <v/>
      </c>
      <c r="S18" s="72" t="str">
        <f t="shared" si="1"/>
        <v/>
      </c>
    </row>
    <row r="19" spans="1:19" ht="15.75" customHeight="1">
      <c r="A19" s="506"/>
      <c r="B19" s="51" t="str">
        <f>IF(ISBLANK(A19),"",VLOOKUP(A19,Management!$A$11:$C$25,2,0))</f>
        <v/>
      </c>
      <c r="C19" s="433"/>
      <c r="D19" s="421"/>
      <c r="E19" s="433"/>
      <c r="F19" s="434"/>
      <c r="G19" s="95" t="str">
        <f t="shared" si="2"/>
        <v/>
      </c>
      <c r="H19" s="435"/>
      <c r="I19" s="434"/>
      <c r="J19" s="95" t="str">
        <f t="shared" si="3"/>
        <v/>
      </c>
      <c r="K19" s="81"/>
      <c r="L19" s="362"/>
      <c r="M19" s="256" t="str">
        <f t="shared" si="0"/>
        <v/>
      </c>
      <c r="N19" s="184" t="str">
        <f>IF(OR(ISBLANK($D19),ISBLANK($K19),ISBLANK($L19)),"",IF($L19="0–9 km",0,IF(LEFT($D19,15)="Long-term teach",VLOOKUP($K19,Subsistence,2,0)*14+VLOOKUP($K19,Subsistence,3,0)*46+VLOOKUP($K19,Subsistence,4,0)*($F19-60),IF(LEFT($D19,15)="Short-term join",IF($F19&lt;15,Ceilings!$S$3*$F19,Ceilings!$S$3*14+Ceilings!$S$4*($F19-14)),IF(LEFT($D19,15)="Long-term study",VLOOKUP($K19,Subsistence,5,0)*ROUND($F19/30,0),IF($F19&lt;15,Ceilings!$S$6*$F19,Ceilings!$S$6*14+Ceilings!$S$7*($F19-14)))))))</f>
        <v/>
      </c>
      <c r="O19" s="185" t="str">
        <f>IF(OR(ISBLANK(D19),ISBLANK(H19),ISBLANK(K19),ISBLANK(L19)),"",IF(L19="0–9 km",0,IF(I19&lt;15,Ceilings!$S$3*I19,Ceilings!$S$3*14+Ceilings!$S$4*(I19-14))))</f>
        <v/>
      </c>
      <c r="P19" s="183" t="str">
        <f t="shared" si="4"/>
        <v/>
      </c>
      <c r="Q19" s="436"/>
      <c r="R19" s="266" t="str">
        <f>IF(OR(ISBLANK($D19),ISBLANK($K19),ISBLANK(Q19)),"",Ceilings!$V$3*Q19)</f>
        <v/>
      </c>
      <c r="S19" s="72" t="str">
        <f t="shared" si="1"/>
        <v/>
      </c>
    </row>
    <row r="20" spans="1:19" ht="15.75" customHeight="1">
      <c r="A20" s="506"/>
      <c r="B20" s="51" t="str">
        <f>IF(ISBLANK(A20),"",VLOOKUP(A20,Management!$A$11:$C$25,2,0))</f>
        <v/>
      </c>
      <c r="C20" s="433"/>
      <c r="D20" s="421"/>
      <c r="E20" s="433"/>
      <c r="F20" s="434"/>
      <c r="G20" s="95" t="str">
        <f t="shared" si="2"/>
        <v/>
      </c>
      <c r="H20" s="435"/>
      <c r="I20" s="434"/>
      <c r="J20" s="95" t="str">
        <f t="shared" si="3"/>
        <v/>
      </c>
      <c r="K20" s="81"/>
      <c r="L20" s="362"/>
      <c r="M20" s="256" t="str">
        <f t="shared" si="0"/>
        <v/>
      </c>
      <c r="N20" s="184" t="str">
        <f>IF(OR(ISBLANK($D20),ISBLANK($K20),ISBLANK($L20)),"",IF($L20="0–9 km",0,IF(LEFT($D20,15)="Long-term teach",VLOOKUP($K20,Subsistence,2,0)*14+VLOOKUP($K20,Subsistence,3,0)*46+VLOOKUP($K20,Subsistence,4,0)*($F20-60),IF(LEFT($D20,15)="Short-term join",IF($F20&lt;15,Ceilings!$S$3*$F20,Ceilings!$S$3*14+Ceilings!$S$4*($F20-14)),IF(LEFT($D20,15)="Long-term study",VLOOKUP($K20,Subsistence,5,0)*ROUND($F20/30,0),IF($F20&lt;15,Ceilings!$S$6*$F20,Ceilings!$S$6*14+Ceilings!$S$7*($F20-14)))))))</f>
        <v/>
      </c>
      <c r="O20" s="185" t="str">
        <f>IF(OR(ISBLANK(D20),ISBLANK(H20),ISBLANK(K20),ISBLANK(L20)),"",IF(L20="0–9 km",0,IF(I20&lt;15,Ceilings!$S$3*I20,Ceilings!$S$3*14+Ceilings!$S$4*(I20-14))))</f>
        <v/>
      </c>
      <c r="P20" s="183" t="str">
        <f t="shared" si="4"/>
        <v/>
      </c>
      <c r="Q20" s="436"/>
      <c r="R20" s="266" t="str">
        <f>IF(OR(ISBLANK($D20),ISBLANK($K20),ISBLANK(Q20)),"",Ceilings!$V$3*Q20)</f>
        <v/>
      </c>
      <c r="S20" s="72" t="str">
        <f t="shared" si="1"/>
        <v/>
      </c>
    </row>
    <row r="21" spans="1:19" ht="15.75" customHeight="1">
      <c r="A21" s="506"/>
      <c r="B21" s="51" t="str">
        <f>IF(ISBLANK(A21),"",VLOOKUP(A21,Management!$A$11:$C$25,2,0))</f>
        <v/>
      </c>
      <c r="C21" s="433"/>
      <c r="D21" s="421"/>
      <c r="E21" s="433"/>
      <c r="F21" s="434"/>
      <c r="G21" s="95" t="str">
        <f t="shared" si="2"/>
        <v/>
      </c>
      <c r="H21" s="435"/>
      <c r="I21" s="434"/>
      <c r="J21" s="95" t="str">
        <f t="shared" si="3"/>
        <v/>
      </c>
      <c r="K21" s="81"/>
      <c r="L21" s="362"/>
      <c r="M21" s="256" t="str">
        <f t="shared" si="0"/>
        <v/>
      </c>
      <c r="N21" s="184" t="str">
        <f>IF(OR(ISBLANK($D21),ISBLANK($K21),ISBLANK($L21)),"",IF($L21="0–9 km",0,IF(LEFT($D21,15)="Long-term teach",VLOOKUP($K21,Subsistence,2,0)*14+VLOOKUP($K21,Subsistence,3,0)*46+VLOOKUP($K21,Subsistence,4,0)*($F21-60),IF(LEFT($D21,15)="Short-term join",IF($F21&lt;15,Ceilings!$S$3*$F21,Ceilings!$S$3*14+Ceilings!$S$4*($F21-14)),IF(LEFT($D21,15)="Long-term study",VLOOKUP($K21,Subsistence,5,0)*ROUND($F21/30,0),IF($F21&lt;15,Ceilings!$S$6*$F21,Ceilings!$S$6*14+Ceilings!$S$7*($F21-14)))))))</f>
        <v/>
      </c>
      <c r="O21" s="185" t="str">
        <f>IF(OR(ISBLANK(D21),ISBLANK(H21),ISBLANK(K21),ISBLANK(L21)),"",IF(L21="0–9 km",0,IF(I21&lt;15,Ceilings!$S$3*I21,Ceilings!$S$3*14+Ceilings!$S$4*(I21-14))))</f>
        <v/>
      </c>
      <c r="P21" s="183" t="str">
        <f t="shared" si="4"/>
        <v/>
      </c>
      <c r="Q21" s="436"/>
      <c r="R21" s="266" t="str">
        <f>IF(OR(ISBLANK($D21),ISBLANK($K21),ISBLANK(Q21)),"",Ceilings!$V$3*Q21)</f>
        <v/>
      </c>
      <c r="S21" s="72" t="str">
        <f t="shared" si="1"/>
        <v/>
      </c>
    </row>
    <row r="22" spans="1:19" ht="15.75" customHeight="1">
      <c r="A22" s="506"/>
      <c r="B22" s="51" t="str">
        <f>IF(ISBLANK(A22),"",VLOOKUP(A22,Management!$A$11:$C$25,2,0))</f>
        <v/>
      </c>
      <c r="C22" s="433"/>
      <c r="D22" s="421"/>
      <c r="E22" s="433"/>
      <c r="F22" s="434"/>
      <c r="G22" s="95" t="str">
        <f t="shared" si="2"/>
        <v/>
      </c>
      <c r="H22" s="435"/>
      <c r="I22" s="434"/>
      <c r="J22" s="95" t="str">
        <f t="shared" si="3"/>
        <v/>
      </c>
      <c r="K22" s="81"/>
      <c r="L22" s="362"/>
      <c r="M22" s="256" t="str">
        <f t="shared" si="0"/>
        <v/>
      </c>
      <c r="N22" s="184" t="str">
        <f>IF(OR(ISBLANK($D22),ISBLANK($K22),ISBLANK($L22)),"",IF($L22="0–9 km",0,IF(LEFT($D22,15)="Long-term teach",VLOOKUP($K22,Subsistence,2,0)*14+VLOOKUP($K22,Subsistence,3,0)*46+VLOOKUP($K22,Subsistence,4,0)*($F22-60),IF(LEFT($D22,15)="Short-term join",IF($F22&lt;15,Ceilings!$S$3*$F22,Ceilings!$S$3*14+Ceilings!$S$4*($F22-14)),IF(LEFT($D22,15)="Long-term study",VLOOKUP($K22,Subsistence,5,0)*ROUND($F22/30,0),IF($F22&lt;15,Ceilings!$S$6*$F22,Ceilings!$S$6*14+Ceilings!$S$7*($F22-14)))))))</f>
        <v/>
      </c>
      <c r="O22" s="185" t="str">
        <f>IF(OR(ISBLANK(D22),ISBLANK(H22),ISBLANK(K22),ISBLANK(L22)),"",IF(L22="0–9 km",0,IF(I22&lt;15,Ceilings!$S$3*I22,Ceilings!$S$3*14+Ceilings!$S$4*(I22-14))))</f>
        <v/>
      </c>
      <c r="P22" s="183" t="str">
        <f t="shared" si="4"/>
        <v/>
      </c>
      <c r="Q22" s="436"/>
      <c r="R22" s="266" t="str">
        <f>IF(OR(ISBLANK($D22),ISBLANK($K22),ISBLANK(Q22)),"",Ceilings!$V$3*Q22)</f>
        <v/>
      </c>
      <c r="S22" s="72" t="str">
        <f t="shared" si="1"/>
        <v/>
      </c>
    </row>
    <row r="23" spans="1:19" ht="15.75" customHeight="1">
      <c r="A23" s="506"/>
      <c r="B23" s="51" t="str">
        <f>IF(ISBLANK(A23),"",VLOOKUP(A23,Management!$A$11:$C$25,2,0))</f>
        <v/>
      </c>
      <c r="C23" s="433"/>
      <c r="D23" s="421"/>
      <c r="E23" s="433"/>
      <c r="F23" s="434"/>
      <c r="G23" s="95" t="str">
        <f t="shared" si="2"/>
        <v/>
      </c>
      <c r="H23" s="435"/>
      <c r="I23" s="434"/>
      <c r="J23" s="95" t="str">
        <f t="shared" si="3"/>
        <v/>
      </c>
      <c r="K23" s="81"/>
      <c r="L23" s="362"/>
      <c r="M23" s="256" t="str">
        <f t="shared" si="0"/>
        <v/>
      </c>
      <c r="N23" s="184" t="str">
        <f>IF(OR(ISBLANK($D23),ISBLANK($K23),ISBLANK($L23)),"",IF($L23="0–9 km",0,IF(LEFT($D23,15)="Long-term teach",VLOOKUP($K23,Subsistence,2,0)*14+VLOOKUP($K23,Subsistence,3,0)*46+VLOOKUP($K23,Subsistence,4,0)*($F23-60),IF(LEFT($D23,15)="Short-term join",IF($F23&lt;15,Ceilings!$S$3*$F23,Ceilings!$S$3*14+Ceilings!$S$4*($F23-14)),IF(LEFT($D23,15)="Long-term study",VLOOKUP($K23,Subsistence,5,0)*ROUND($F23/30,0),IF($F23&lt;15,Ceilings!$S$6*$F23,Ceilings!$S$6*14+Ceilings!$S$7*($F23-14)))))))</f>
        <v/>
      </c>
      <c r="O23" s="185" t="str">
        <f>IF(OR(ISBLANK(D23),ISBLANK(H23),ISBLANK(K23),ISBLANK(L23)),"",IF(L23="0–9 km",0,IF(I23&lt;15,Ceilings!$S$3*I23,Ceilings!$S$3*14+Ceilings!$S$4*(I23-14))))</f>
        <v/>
      </c>
      <c r="P23" s="183" t="str">
        <f t="shared" si="4"/>
        <v/>
      </c>
      <c r="Q23" s="436"/>
      <c r="R23" s="266" t="str">
        <f>IF(OR(ISBLANK($D23),ISBLANK($K23),ISBLANK(Q23)),"",Ceilings!$V$3*Q23)</f>
        <v/>
      </c>
      <c r="S23" s="72" t="str">
        <f t="shared" si="1"/>
        <v/>
      </c>
    </row>
    <row r="24" spans="1:19" ht="15.75" customHeight="1">
      <c r="A24" s="506"/>
      <c r="B24" s="51" t="str">
        <f>IF(ISBLANK(A24),"",VLOOKUP(A24,Management!$A$11:$C$25,2,0))</f>
        <v/>
      </c>
      <c r="C24" s="433"/>
      <c r="D24" s="421"/>
      <c r="E24" s="433"/>
      <c r="F24" s="434"/>
      <c r="G24" s="95" t="str">
        <f t="shared" si="2"/>
        <v/>
      </c>
      <c r="H24" s="435"/>
      <c r="I24" s="434"/>
      <c r="J24" s="95" t="str">
        <f t="shared" si="3"/>
        <v/>
      </c>
      <c r="K24" s="81"/>
      <c r="L24" s="362"/>
      <c r="M24" s="256" t="str">
        <f t="shared" si="0"/>
        <v/>
      </c>
      <c r="N24" s="184" t="str">
        <f>IF(OR(ISBLANK($D24),ISBLANK($K24),ISBLANK($L24)),"",IF($L24="0–9 km",0,IF(LEFT($D24,15)="Long-term teach",VLOOKUP($K24,Subsistence,2,0)*14+VLOOKUP($K24,Subsistence,3,0)*46+VLOOKUP($K24,Subsistence,4,0)*($F24-60),IF(LEFT($D24,15)="Short-term join",IF($F24&lt;15,Ceilings!$S$3*$F24,Ceilings!$S$3*14+Ceilings!$S$4*($F24-14)),IF(LEFT($D24,15)="Long-term study",VLOOKUP($K24,Subsistence,5,0)*ROUND($F24/30,0),IF($F24&lt;15,Ceilings!$S$6*$F24,Ceilings!$S$6*14+Ceilings!$S$7*($F24-14)))))))</f>
        <v/>
      </c>
      <c r="O24" s="185" t="str">
        <f>IF(OR(ISBLANK(D24),ISBLANK(H24),ISBLANK(K24),ISBLANK(L24)),"",IF(L24="0–9 km",0,IF(I24&lt;15,Ceilings!$S$3*I24,Ceilings!$S$3*14+Ceilings!$S$4*(I24-14))))</f>
        <v/>
      </c>
      <c r="P24" s="183" t="str">
        <f t="shared" si="4"/>
        <v/>
      </c>
      <c r="Q24" s="436"/>
      <c r="R24" s="266" t="str">
        <f>IF(OR(ISBLANK($D24),ISBLANK($K24),ISBLANK(Q24)),"",Ceilings!$V$3*Q24)</f>
        <v/>
      </c>
      <c r="S24" s="72" t="str">
        <f t="shared" si="1"/>
        <v/>
      </c>
    </row>
    <row r="25" spans="1:19" ht="15.75" customHeight="1">
      <c r="A25" s="506"/>
      <c r="B25" s="51" t="str">
        <f>IF(ISBLANK(A25),"",VLOOKUP(A25,Management!$A$11:$C$25,2,0))</f>
        <v/>
      </c>
      <c r="C25" s="433"/>
      <c r="D25" s="421"/>
      <c r="E25" s="433"/>
      <c r="F25" s="434"/>
      <c r="G25" s="95" t="str">
        <f t="shared" si="2"/>
        <v/>
      </c>
      <c r="H25" s="435"/>
      <c r="I25" s="434"/>
      <c r="J25" s="95" t="str">
        <f t="shared" si="3"/>
        <v/>
      </c>
      <c r="K25" s="81"/>
      <c r="L25" s="362"/>
      <c r="M25" s="256" t="str">
        <f t="shared" si="0"/>
        <v/>
      </c>
      <c r="N25" s="184" t="str">
        <f>IF(OR(ISBLANK($D25),ISBLANK($K25),ISBLANK($L25)),"",IF($L25="0–9 km",0,IF(LEFT($D25,15)="Long-term teach",VLOOKUP($K25,Subsistence,2,0)*14+VLOOKUP($K25,Subsistence,3,0)*46+VLOOKUP($K25,Subsistence,4,0)*($F25-60),IF(LEFT($D25,15)="Short-term join",IF($F25&lt;15,Ceilings!$S$3*$F25,Ceilings!$S$3*14+Ceilings!$S$4*($F25-14)),IF(LEFT($D25,15)="Long-term study",VLOOKUP($K25,Subsistence,5,0)*ROUND($F25/30,0),IF($F25&lt;15,Ceilings!$S$6*$F25,Ceilings!$S$6*14+Ceilings!$S$7*($F25-14)))))))</f>
        <v/>
      </c>
      <c r="O25" s="185" t="str">
        <f>IF(OR(ISBLANK(D25),ISBLANK(H25),ISBLANK(K25),ISBLANK(L25)),"",IF(L25="0–9 km",0,IF(I25&lt;15,Ceilings!$S$3*I25,Ceilings!$S$3*14+Ceilings!$S$4*(I25-14))))</f>
        <v/>
      </c>
      <c r="P25" s="183" t="str">
        <f t="shared" si="4"/>
        <v/>
      </c>
      <c r="Q25" s="436"/>
      <c r="R25" s="266" t="str">
        <f>IF(OR(ISBLANK($D25),ISBLANK($K25),ISBLANK(Q25)),"",Ceilings!$V$3*Q25)</f>
        <v/>
      </c>
      <c r="S25" s="72" t="str">
        <f t="shared" si="1"/>
        <v/>
      </c>
    </row>
    <row r="26" spans="1:19" ht="15.75" customHeight="1">
      <c r="A26" s="506"/>
      <c r="B26" s="51" t="str">
        <f>IF(ISBLANK(A26),"",VLOOKUP(A26,Management!$A$11:$C$25,2,0))</f>
        <v/>
      </c>
      <c r="C26" s="433"/>
      <c r="D26" s="421"/>
      <c r="E26" s="433"/>
      <c r="F26" s="434"/>
      <c r="G26" s="95" t="str">
        <f t="shared" si="2"/>
        <v/>
      </c>
      <c r="H26" s="435"/>
      <c r="I26" s="434"/>
      <c r="J26" s="95" t="str">
        <f t="shared" si="3"/>
        <v/>
      </c>
      <c r="K26" s="81"/>
      <c r="L26" s="362"/>
      <c r="M26" s="256" t="str">
        <f t="shared" si="0"/>
        <v/>
      </c>
      <c r="N26" s="184" t="str">
        <f>IF(OR(ISBLANK($D26),ISBLANK($K26),ISBLANK($L26)),"",IF($L26="0–9 km",0,IF(LEFT($D26,15)="Long-term teach",VLOOKUP($K26,Subsistence,2,0)*14+VLOOKUP($K26,Subsistence,3,0)*46+VLOOKUP($K26,Subsistence,4,0)*($F26-60),IF(LEFT($D26,15)="Short-term join",IF($F26&lt;15,Ceilings!$S$3*$F26,Ceilings!$S$3*14+Ceilings!$S$4*($F26-14)),IF(LEFT($D26,15)="Long-term study",VLOOKUP($K26,Subsistence,5,0)*ROUND($F26/30,0),IF($F26&lt;15,Ceilings!$S$6*$F26,Ceilings!$S$6*14+Ceilings!$S$7*($F26-14)))))))</f>
        <v/>
      </c>
      <c r="O26" s="185" t="str">
        <f>IF(OR(ISBLANK(D26),ISBLANK(H26),ISBLANK(K26),ISBLANK(L26)),"",IF(L26="0–9 km",0,IF(I26&lt;15,Ceilings!$S$3*I26,Ceilings!$S$3*14+Ceilings!$S$4*(I26-14))))</f>
        <v/>
      </c>
      <c r="P26" s="183" t="str">
        <f t="shared" si="4"/>
        <v/>
      </c>
      <c r="Q26" s="436"/>
      <c r="R26" s="266" t="str">
        <f>IF(OR(ISBLANK($D26),ISBLANK($K26),ISBLANK(Q26)),"",Ceilings!$V$3*Q26)</f>
        <v/>
      </c>
      <c r="S26" s="72" t="str">
        <f t="shared" si="1"/>
        <v/>
      </c>
    </row>
    <row r="27" spans="1:19" ht="15.75" customHeight="1">
      <c r="A27" s="506"/>
      <c r="B27" s="51" t="str">
        <f>IF(ISBLANK(A27),"",VLOOKUP(A27,Management!$A$11:$C$25,2,0))</f>
        <v/>
      </c>
      <c r="C27" s="433"/>
      <c r="D27" s="421"/>
      <c r="E27" s="433"/>
      <c r="F27" s="434"/>
      <c r="G27" s="95" t="str">
        <f t="shared" si="2"/>
        <v/>
      </c>
      <c r="H27" s="435"/>
      <c r="I27" s="434"/>
      <c r="J27" s="95" t="str">
        <f t="shared" si="3"/>
        <v/>
      </c>
      <c r="K27" s="81"/>
      <c r="L27" s="362"/>
      <c r="M27" s="256" t="str">
        <f t="shared" si="0"/>
        <v/>
      </c>
      <c r="N27" s="184" t="str">
        <f>IF(OR(ISBLANK($D27),ISBLANK($K27),ISBLANK($L27)),"",IF($L27="0–9 km",0,IF(LEFT($D27,15)="Long-term teach",VLOOKUP($K27,Subsistence,2,0)*14+VLOOKUP($K27,Subsistence,3,0)*46+VLOOKUP($K27,Subsistence,4,0)*($F27-60),IF(LEFT($D27,15)="Short-term join",IF($F27&lt;15,Ceilings!$S$3*$F27,Ceilings!$S$3*14+Ceilings!$S$4*($F27-14)),IF(LEFT($D27,15)="Long-term study",VLOOKUP($K27,Subsistence,5,0)*ROUND($F27/30,0),IF($F27&lt;15,Ceilings!$S$6*$F27,Ceilings!$S$6*14+Ceilings!$S$7*($F27-14)))))))</f>
        <v/>
      </c>
      <c r="O27" s="185" t="str">
        <f>IF(OR(ISBLANK(D27),ISBLANK(H27),ISBLANK(K27),ISBLANK(L27)),"",IF(L27="0–9 km",0,IF(I27&lt;15,Ceilings!$S$3*I27,Ceilings!$S$3*14+Ceilings!$S$4*(I27-14))))</f>
        <v/>
      </c>
      <c r="P27" s="183" t="str">
        <f t="shared" si="4"/>
        <v/>
      </c>
      <c r="Q27" s="436"/>
      <c r="R27" s="266" t="str">
        <f>IF(OR(ISBLANK($D27),ISBLANK($K27),ISBLANK(Q27)),"",Ceilings!$V$3*Q27)</f>
        <v/>
      </c>
      <c r="S27" s="72" t="str">
        <f t="shared" si="1"/>
        <v/>
      </c>
    </row>
    <row r="28" spans="1:19" ht="15.75" customHeight="1">
      <c r="A28" s="506"/>
      <c r="B28" s="51" t="str">
        <f>IF(ISBLANK(A28),"",VLOOKUP(A28,Management!$A$11:$C$25,2,0))</f>
        <v/>
      </c>
      <c r="C28" s="433"/>
      <c r="D28" s="421"/>
      <c r="E28" s="433"/>
      <c r="F28" s="434"/>
      <c r="G28" s="95" t="str">
        <f t="shared" si="2"/>
        <v/>
      </c>
      <c r="H28" s="435"/>
      <c r="I28" s="434"/>
      <c r="J28" s="95" t="str">
        <f t="shared" si="3"/>
        <v/>
      </c>
      <c r="K28" s="81"/>
      <c r="L28" s="362"/>
      <c r="M28" s="256" t="str">
        <f t="shared" si="0"/>
        <v/>
      </c>
      <c r="N28" s="184" t="str">
        <f>IF(OR(ISBLANK($D28),ISBLANK($K28),ISBLANK($L28)),"",IF($L28="0–9 km",0,IF(LEFT($D28,15)="Long-term teach",VLOOKUP($K28,Subsistence,2,0)*14+VLOOKUP($K28,Subsistence,3,0)*46+VLOOKUP($K28,Subsistence,4,0)*($F28-60),IF(LEFT($D28,15)="Short-term join",IF($F28&lt;15,Ceilings!$S$3*$F28,Ceilings!$S$3*14+Ceilings!$S$4*($F28-14)),IF(LEFT($D28,15)="Long-term study",VLOOKUP($K28,Subsistence,5,0)*ROUND($F28/30,0),IF($F28&lt;15,Ceilings!$S$6*$F28,Ceilings!$S$6*14+Ceilings!$S$7*($F28-14)))))))</f>
        <v/>
      </c>
      <c r="O28" s="185" t="str">
        <f>IF(OR(ISBLANK(D28),ISBLANK(H28),ISBLANK(K28),ISBLANK(L28)),"",IF(L28="0–9 km",0,IF(I28&lt;15,Ceilings!$S$3*I28,Ceilings!$S$3*14+Ceilings!$S$4*(I28-14))))</f>
        <v/>
      </c>
      <c r="P28" s="183" t="str">
        <f t="shared" si="4"/>
        <v/>
      </c>
      <c r="Q28" s="436"/>
      <c r="R28" s="266" t="str">
        <f>IF(OR(ISBLANK($D28),ISBLANK($K28),ISBLANK(Q28)),"",Ceilings!$V$3*Q28)</f>
        <v/>
      </c>
      <c r="S28" s="72" t="str">
        <f t="shared" si="1"/>
        <v/>
      </c>
    </row>
    <row r="29" spans="1:19" ht="15.75" customHeight="1">
      <c r="A29" s="506"/>
      <c r="B29" s="51" t="str">
        <f>IF(ISBLANK(A29),"",VLOOKUP(A29,Management!$A$11:$C$25,2,0))</f>
        <v/>
      </c>
      <c r="C29" s="433"/>
      <c r="D29" s="421"/>
      <c r="E29" s="433"/>
      <c r="F29" s="434"/>
      <c r="G29" s="95" t="str">
        <f t="shared" si="2"/>
        <v/>
      </c>
      <c r="H29" s="435"/>
      <c r="I29" s="434"/>
      <c r="J29" s="95" t="str">
        <f t="shared" si="3"/>
        <v/>
      </c>
      <c r="K29" s="81"/>
      <c r="L29" s="362"/>
      <c r="M29" s="256" t="str">
        <f t="shared" si="0"/>
        <v/>
      </c>
      <c r="N29" s="184" t="str">
        <f>IF(OR(ISBLANK($D29),ISBLANK($K29),ISBLANK($L29)),"",IF($L29="0–9 km",0,IF(LEFT($D29,15)="Long-term teach",VLOOKUP($K29,Subsistence,2,0)*14+VLOOKUP($K29,Subsistence,3,0)*46+VLOOKUP($K29,Subsistence,4,0)*($F29-60),IF(LEFT($D29,15)="Short-term join",IF($F29&lt;15,Ceilings!$S$3*$F29,Ceilings!$S$3*14+Ceilings!$S$4*($F29-14)),IF(LEFT($D29,15)="Long-term study",VLOOKUP($K29,Subsistence,5,0)*ROUND($F29/30,0),IF($F29&lt;15,Ceilings!$S$6*$F29,Ceilings!$S$6*14+Ceilings!$S$7*($F29-14)))))))</f>
        <v/>
      </c>
      <c r="O29" s="185" t="str">
        <f>IF(OR(ISBLANK(D29),ISBLANK(H29),ISBLANK(K29),ISBLANK(L29)),"",IF(L29="0–9 km",0,IF(I29&lt;15,Ceilings!$S$3*I29,Ceilings!$S$3*14+Ceilings!$S$4*(I29-14))))</f>
        <v/>
      </c>
      <c r="P29" s="183" t="str">
        <f t="shared" si="4"/>
        <v/>
      </c>
      <c r="Q29" s="436"/>
      <c r="R29" s="266" t="str">
        <f>IF(OR(ISBLANK($D29),ISBLANK($K29),ISBLANK(Q29)),"",Ceilings!$V$3*Q29)</f>
        <v/>
      </c>
      <c r="S29" s="72" t="str">
        <f t="shared" si="1"/>
        <v/>
      </c>
    </row>
    <row r="30" spans="1:19" ht="15.75" customHeight="1">
      <c r="A30" s="506"/>
      <c r="B30" s="51" t="str">
        <f>IF(ISBLANK(A30),"",VLOOKUP(A30,Management!$A$11:$C$25,2,0))</f>
        <v/>
      </c>
      <c r="C30" s="433"/>
      <c r="D30" s="421"/>
      <c r="E30" s="433"/>
      <c r="F30" s="434"/>
      <c r="G30" s="95" t="str">
        <f t="shared" si="2"/>
        <v/>
      </c>
      <c r="H30" s="435"/>
      <c r="I30" s="434"/>
      <c r="J30" s="95" t="str">
        <f t="shared" si="3"/>
        <v/>
      </c>
      <c r="K30" s="81"/>
      <c r="L30" s="362"/>
      <c r="M30" s="256" t="str">
        <f t="shared" si="0"/>
        <v/>
      </c>
      <c r="N30" s="184" t="str">
        <f>IF(OR(ISBLANK($D30),ISBLANK($K30),ISBLANK($L30)),"",IF($L30="0–9 km",0,IF(LEFT($D30,15)="Long-term teach",VLOOKUP($K30,Subsistence,2,0)*14+VLOOKUP($K30,Subsistence,3,0)*46+VLOOKUP($K30,Subsistence,4,0)*($F30-60),IF(LEFT($D30,15)="Short-term join",IF($F30&lt;15,Ceilings!$S$3*$F30,Ceilings!$S$3*14+Ceilings!$S$4*($F30-14)),IF(LEFT($D30,15)="Long-term study",VLOOKUP($K30,Subsistence,5,0)*ROUND($F30/30,0),IF($F30&lt;15,Ceilings!$S$6*$F30,Ceilings!$S$6*14+Ceilings!$S$7*($F30-14)))))))</f>
        <v/>
      </c>
      <c r="O30" s="185" t="str">
        <f>IF(OR(ISBLANK(D30),ISBLANK(H30),ISBLANK(K30),ISBLANK(L30)),"",IF(L30="0–9 km",0,IF(I30&lt;15,Ceilings!$S$3*I30,Ceilings!$S$3*14+Ceilings!$S$4*(I30-14))))</f>
        <v/>
      </c>
      <c r="P30" s="183" t="str">
        <f t="shared" si="4"/>
        <v/>
      </c>
      <c r="Q30" s="436"/>
      <c r="R30" s="266" t="str">
        <f>IF(OR(ISBLANK($D30),ISBLANK($K30),ISBLANK(Q30)),"",Ceilings!$V$3*Q30)</f>
        <v/>
      </c>
      <c r="S30" s="72" t="str">
        <f t="shared" si="1"/>
        <v/>
      </c>
    </row>
    <row r="31" spans="1:19" ht="15.75" customHeight="1">
      <c r="A31" s="506"/>
      <c r="B31" s="51" t="str">
        <f>IF(ISBLANK(A31),"",VLOOKUP(A31,Management!$A$11:$C$25,2,0))</f>
        <v/>
      </c>
      <c r="C31" s="433"/>
      <c r="D31" s="421"/>
      <c r="E31" s="433"/>
      <c r="F31" s="434"/>
      <c r="G31" s="95" t="str">
        <f t="shared" si="2"/>
        <v/>
      </c>
      <c r="H31" s="435"/>
      <c r="I31" s="434"/>
      <c r="J31" s="95" t="str">
        <f t="shared" si="3"/>
        <v/>
      </c>
      <c r="K31" s="81"/>
      <c r="L31" s="362"/>
      <c r="M31" s="256" t="str">
        <f t="shared" si="0"/>
        <v/>
      </c>
      <c r="N31" s="184" t="str">
        <f>IF(OR(ISBLANK($D31),ISBLANK($K31),ISBLANK($L31)),"",IF($L31="0–9 km",0,IF(LEFT($D31,15)="Long-term teach",VLOOKUP($K31,Subsistence,2,0)*14+VLOOKUP($K31,Subsistence,3,0)*46+VLOOKUP($K31,Subsistence,4,0)*($F31-60),IF(LEFT($D31,15)="Short-term join",IF($F31&lt;15,Ceilings!$S$3*$F31,Ceilings!$S$3*14+Ceilings!$S$4*($F31-14)),IF(LEFT($D31,15)="Long-term study",VLOOKUP($K31,Subsistence,5,0)*ROUND($F31/30,0),IF($F31&lt;15,Ceilings!$S$6*$F31,Ceilings!$S$6*14+Ceilings!$S$7*($F31-14)))))))</f>
        <v/>
      </c>
      <c r="O31" s="185" t="str">
        <f>IF(OR(ISBLANK(D31),ISBLANK(H31),ISBLANK(K31),ISBLANK(L31)),"",IF(L31="0–9 km",0,IF(I31&lt;15,Ceilings!$S$3*I31,Ceilings!$S$3*14+Ceilings!$S$4*(I31-14))))</f>
        <v/>
      </c>
      <c r="P31" s="183" t="str">
        <f t="shared" si="4"/>
        <v/>
      </c>
      <c r="Q31" s="436"/>
      <c r="R31" s="266" t="str">
        <f>IF(OR(ISBLANK($D31),ISBLANK($K31),ISBLANK(Q31)),"",Ceilings!$V$3*Q31)</f>
        <v/>
      </c>
      <c r="S31" s="72" t="str">
        <f t="shared" si="1"/>
        <v/>
      </c>
    </row>
    <row r="32" spans="1:19" ht="15.75" customHeight="1">
      <c r="A32" s="506"/>
      <c r="B32" s="51" t="str">
        <f>IF(ISBLANK(A32),"",VLOOKUP(A32,Management!$A$11:$C$25,2,0))</f>
        <v/>
      </c>
      <c r="C32" s="433"/>
      <c r="D32" s="421"/>
      <c r="E32" s="433"/>
      <c r="F32" s="434"/>
      <c r="G32" s="95" t="str">
        <f t="shared" si="2"/>
        <v/>
      </c>
      <c r="H32" s="435"/>
      <c r="I32" s="434"/>
      <c r="J32" s="95" t="str">
        <f t="shared" si="3"/>
        <v/>
      </c>
      <c r="K32" s="81"/>
      <c r="L32" s="362"/>
      <c r="M32" s="256" t="str">
        <f t="shared" si="0"/>
        <v/>
      </c>
      <c r="N32" s="184" t="str">
        <f>IF(OR(ISBLANK($D32),ISBLANK($K32),ISBLANK($L32)),"",IF($L32="0–9 km",0,IF(LEFT($D32,15)="Long-term teach",VLOOKUP($K32,Subsistence,2,0)*14+VLOOKUP($K32,Subsistence,3,0)*46+VLOOKUP($K32,Subsistence,4,0)*($F32-60),IF(LEFT($D32,15)="Short-term join",IF($F32&lt;15,Ceilings!$S$3*$F32,Ceilings!$S$3*14+Ceilings!$S$4*($F32-14)),IF(LEFT($D32,15)="Long-term study",VLOOKUP($K32,Subsistence,5,0)*ROUND($F32/30,0),IF($F32&lt;15,Ceilings!$S$6*$F32,Ceilings!$S$6*14+Ceilings!$S$7*($F32-14)))))))</f>
        <v/>
      </c>
      <c r="O32" s="185" t="str">
        <f>IF(OR(ISBLANK(D32),ISBLANK(H32),ISBLANK(K32),ISBLANK(L32)),"",IF(L32="0–9 km",0,IF(I32&lt;15,Ceilings!$S$3*I32,Ceilings!$S$3*14+Ceilings!$S$4*(I32-14))))</f>
        <v/>
      </c>
      <c r="P32" s="183" t="str">
        <f t="shared" si="4"/>
        <v/>
      </c>
      <c r="Q32" s="436"/>
      <c r="R32" s="266" t="str">
        <f>IF(OR(ISBLANK($D32),ISBLANK($K32),ISBLANK(Q32)),"",Ceilings!$V$3*Q32)</f>
        <v/>
      </c>
      <c r="S32" s="72" t="str">
        <f t="shared" si="1"/>
        <v/>
      </c>
    </row>
    <row r="33" spans="1:19" ht="15.75" customHeight="1">
      <c r="A33" s="506"/>
      <c r="B33" s="51" t="str">
        <f>IF(ISBLANK(A33),"",VLOOKUP(A33,Management!$A$11:$C$25,2,0))</f>
        <v/>
      </c>
      <c r="C33" s="433"/>
      <c r="D33" s="421"/>
      <c r="E33" s="433"/>
      <c r="F33" s="434"/>
      <c r="G33" s="95" t="str">
        <f t="shared" si="2"/>
        <v/>
      </c>
      <c r="H33" s="435"/>
      <c r="I33" s="434"/>
      <c r="J33" s="95" t="str">
        <f t="shared" si="3"/>
        <v/>
      </c>
      <c r="K33" s="81"/>
      <c r="L33" s="362"/>
      <c r="M33" s="256" t="str">
        <f t="shared" si="0"/>
        <v/>
      </c>
      <c r="N33" s="184" t="str">
        <f>IF(OR(ISBLANK($D33),ISBLANK($K33),ISBLANK($L33)),"",IF($L33="0–9 km",0,IF(LEFT($D33,15)="Long-term teach",VLOOKUP($K33,Subsistence,2,0)*14+VLOOKUP($K33,Subsistence,3,0)*46+VLOOKUP($K33,Subsistence,4,0)*($F33-60),IF(LEFT($D33,15)="Short-term join",IF($F33&lt;15,Ceilings!$S$3*$F33,Ceilings!$S$3*14+Ceilings!$S$4*($F33-14)),IF(LEFT($D33,15)="Long-term study",VLOOKUP($K33,Subsistence,5,0)*ROUND($F33/30,0),IF($F33&lt;15,Ceilings!$S$6*$F33,Ceilings!$S$6*14+Ceilings!$S$7*($F33-14)))))))</f>
        <v/>
      </c>
      <c r="O33" s="185" t="str">
        <f>IF(OR(ISBLANK(D33),ISBLANK(H33),ISBLANK(K33),ISBLANK(L33)),"",IF(L33="0–9 km",0,IF(I33&lt;15,Ceilings!$S$3*I33,Ceilings!$S$3*14+Ceilings!$S$4*(I33-14))))</f>
        <v/>
      </c>
      <c r="P33" s="183" t="str">
        <f t="shared" si="4"/>
        <v/>
      </c>
      <c r="Q33" s="436"/>
      <c r="R33" s="266" t="str">
        <f>IF(OR(ISBLANK($D33),ISBLANK($K33),ISBLANK(Q33)),"",Ceilings!$V$3*Q33)</f>
        <v/>
      </c>
      <c r="S33" s="72" t="str">
        <f t="shared" si="1"/>
        <v/>
      </c>
    </row>
    <row r="34" spans="1:19" ht="15.75" customHeight="1">
      <c r="A34" s="506"/>
      <c r="B34" s="51" t="str">
        <f>IF(ISBLANK(A34),"",VLOOKUP(A34,Management!$A$11:$C$25,2,0))</f>
        <v/>
      </c>
      <c r="C34" s="433"/>
      <c r="D34" s="421"/>
      <c r="E34" s="433"/>
      <c r="F34" s="434"/>
      <c r="G34" s="95" t="str">
        <f t="shared" si="2"/>
        <v/>
      </c>
      <c r="H34" s="435"/>
      <c r="I34" s="434"/>
      <c r="J34" s="95" t="str">
        <f t="shared" si="3"/>
        <v/>
      </c>
      <c r="K34" s="81"/>
      <c r="L34" s="362"/>
      <c r="M34" s="256" t="str">
        <f t="shared" si="0"/>
        <v/>
      </c>
      <c r="N34" s="184" t="str">
        <f>IF(OR(ISBLANK($D34),ISBLANK($K34),ISBLANK($L34)),"",IF($L34="0–9 km",0,IF(LEFT($D34,15)="Long-term teach",VLOOKUP($K34,Subsistence,2,0)*14+VLOOKUP($K34,Subsistence,3,0)*46+VLOOKUP($K34,Subsistence,4,0)*($F34-60),IF(LEFT($D34,15)="Short-term join",IF($F34&lt;15,Ceilings!$S$3*$F34,Ceilings!$S$3*14+Ceilings!$S$4*($F34-14)),IF(LEFT($D34,15)="Long-term study",VLOOKUP($K34,Subsistence,5,0)*ROUND($F34/30,0),IF($F34&lt;15,Ceilings!$S$6*$F34,Ceilings!$S$6*14+Ceilings!$S$7*($F34-14)))))))</f>
        <v/>
      </c>
      <c r="O34" s="185" t="str">
        <f>IF(OR(ISBLANK(D34),ISBLANK(H34),ISBLANK(K34),ISBLANK(L34)),"",IF(L34="0–9 km",0,IF(I34&lt;15,Ceilings!$S$3*I34,Ceilings!$S$3*14+Ceilings!$S$4*(I34-14))))</f>
        <v/>
      </c>
      <c r="P34" s="183" t="str">
        <f t="shared" si="4"/>
        <v/>
      </c>
      <c r="Q34" s="436"/>
      <c r="R34" s="266" t="str">
        <f>IF(OR(ISBLANK($D34),ISBLANK($K34),ISBLANK(Q34)),"",Ceilings!$V$3*Q34)</f>
        <v/>
      </c>
      <c r="S34" s="72" t="str">
        <f t="shared" si="1"/>
        <v/>
      </c>
    </row>
    <row r="35" spans="1:19" ht="15.75" customHeight="1">
      <c r="A35" s="506"/>
      <c r="B35" s="51" t="str">
        <f>IF(ISBLANK(A35),"",VLOOKUP(A35,Management!$A$11:$C$25,2,0))</f>
        <v/>
      </c>
      <c r="C35" s="433"/>
      <c r="D35" s="421"/>
      <c r="E35" s="433"/>
      <c r="F35" s="434"/>
      <c r="G35" s="95" t="str">
        <f t="shared" si="2"/>
        <v/>
      </c>
      <c r="H35" s="435"/>
      <c r="I35" s="434"/>
      <c r="J35" s="95" t="str">
        <f t="shared" si="3"/>
        <v/>
      </c>
      <c r="K35" s="81"/>
      <c r="L35" s="362"/>
      <c r="M35" s="256" t="str">
        <f t="shared" si="0"/>
        <v/>
      </c>
      <c r="N35" s="184" t="str">
        <f>IF(OR(ISBLANK($D35),ISBLANK($K35),ISBLANK($L35)),"",IF($L35="0–9 km",0,IF(LEFT($D35,15)="Long-term teach",VLOOKUP($K35,Subsistence,2,0)*14+VLOOKUP($K35,Subsistence,3,0)*46+VLOOKUP($K35,Subsistence,4,0)*($F35-60),IF(LEFT($D35,15)="Short-term join",IF($F35&lt;15,Ceilings!$S$3*$F35,Ceilings!$S$3*14+Ceilings!$S$4*($F35-14)),IF(LEFT($D35,15)="Long-term study",VLOOKUP($K35,Subsistence,5,0)*ROUND($F35/30,0),IF($F35&lt;15,Ceilings!$S$6*$F35,Ceilings!$S$6*14+Ceilings!$S$7*($F35-14)))))))</f>
        <v/>
      </c>
      <c r="O35" s="185" t="str">
        <f>IF(OR(ISBLANK(D35),ISBLANK(H35),ISBLANK(K35),ISBLANK(L35)),"",IF(L35="0–9 km",0,IF(I35&lt;15,Ceilings!$S$3*I35,Ceilings!$S$3*14+Ceilings!$S$4*(I35-14))))</f>
        <v/>
      </c>
      <c r="P35" s="183" t="str">
        <f t="shared" si="4"/>
        <v/>
      </c>
      <c r="Q35" s="436"/>
      <c r="R35" s="266" t="str">
        <f>IF(OR(ISBLANK($D35),ISBLANK($K35),ISBLANK(Q35)),"",Ceilings!$V$3*Q35)</f>
        <v/>
      </c>
      <c r="S35" s="72" t="str">
        <f t="shared" si="1"/>
        <v/>
      </c>
    </row>
    <row r="36" spans="1:19" ht="15.75" customHeight="1">
      <c r="A36" s="506"/>
      <c r="B36" s="51" t="str">
        <f>IF(ISBLANK(A36),"",VLOOKUP(A36,Management!$A$11:$C$25,2,0))</f>
        <v/>
      </c>
      <c r="C36" s="433"/>
      <c r="D36" s="421"/>
      <c r="E36" s="433"/>
      <c r="F36" s="434"/>
      <c r="G36" s="95" t="str">
        <f t="shared" si="2"/>
        <v/>
      </c>
      <c r="H36" s="435"/>
      <c r="I36" s="434"/>
      <c r="J36" s="95" t="str">
        <f t="shared" si="3"/>
        <v/>
      </c>
      <c r="K36" s="81"/>
      <c r="L36" s="362"/>
      <c r="M36" s="256" t="str">
        <f t="shared" si="0"/>
        <v/>
      </c>
      <c r="N36" s="184" t="str">
        <f>IF(OR(ISBLANK($D36),ISBLANK($K36),ISBLANK($L36)),"",IF($L36="0–9 km",0,IF(LEFT($D36,15)="Long-term teach",VLOOKUP($K36,Subsistence,2,0)*14+VLOOKUP($K36,Subsistence,3,0)*46+VLOOKUP($K36,Subsistence,4,0)*($F36-60),IF(LEFT($D36,15)="Short-term join",IF($F36&lt;15,Ceilings!$S$3*$F36,Ceilings!$S$3*14+Ceilings!$S$4*($F36-14)),IF(LEFT($D36,15)="Long-term study",VLOOKUP($K36,Subsistence,5,0)*ROUND($F36/30,0),IF($F36&lt;15,Ceilings!$S$6*$F36,Ceilings!$S$6*14+Ceilings!$S$7*($F36-14)))))))</f>
        <v/>
      </c>
      <c r="O36" s="185" t="str">
        <f>IF(OR(ISBLANK(D36),ISBLANK(H36),ISBLANK(K36),ISBLANK(L36)),"",IF(L36="0–9 km",0,IF(I36&lt;15,Ceilings!$S$3*I36,Ceilings!$S$3*14+Ceilings!$S$4*(I36-14))))</f>
        <v/>
      </c>
      <c r="P36" s="183" t="str">
        <f t="shared" si="4"/>
        <v/>
      </c>
      <c r="Q36" s="436"/>
      <c r="R36" s="266" t="str">
        <f>IF(OR(ISBLANK($D36),ISBLANK($K36),ISBLANK(Q36)),"",Ceilings!$V$3*Q36)</f>
        <v/>
      </c>
      <c r="S36" s="72" t="str">
        <f t="shared" si="1"/>
        <v/>
      </c>
    </row>
    <row r="37" spans="1:19" ht="15.75" customHeight="1">
      <c r="A37" s="506"/>
      <c r="B37" s="51" t="str">
        <f>IF(ISBLANK(A37),"",VLOOKUP(A37,Management!$A$11:$C$25,2,0))</f>
        <v/>
      </c>
      <c r="C37" s="433"/>
      <c r="D37" s="421"/>
      <c r="E37" s="433"/>
      <c r="F37" s="434"/>
      <c r="G37" s="95" t="str">
        <f t="shared" si="2"/>
        <v/>
      </c>
      <c r="H37" s="435"/>
      <c r="I37" s="434"/>
      <c r="J37" s="95" t="str">
        <f t="shared" si="3"/>
        <v/>
      </c>
      <c r="K37" s="81"/>
      <c r="L37" s="362"/>
      <c r="M37" s="256" t="str">
        <f t="shared" si="0"/>
        <v/>
      </c>
      <c r="N37" s="184" t="str">
        <f>IF(OR(ISBLANK($D37),ISBLANK($K37),ISBLANK($L37)),"",IF($L37="0–9 km",0,IF(LEFT($D37,15)="Long-term teach",VLOOKUP($K37,Subsistence,2,0)*14+VLOOKUP($K37,Subsistence,3,0)*46+VLOOKUP($K37,Subsistence,4,0)*($F37-60),IF(LEFT($D37,15)="Short-term join",IF($F37&lt;15,Ceilings!$S$3*$F37,Ceilings!$S$3*14+Ceilings!$S$4*($F37-14)),IF(LEFT($D37,15)="Long-term study",VLOOKUP($K37,Subsistence,5,0)*ROUND($F37/30,0),IF($F37&lt;15,Ceilings!$S$6*$F37,Ceilings!$S$6*14+Ceilings!$S$7*($F37-14)))))))</f>
        <v/>
      </c>
      <c r="O37" s="185" t="str">
        <f>IF(OR(ISBLANK(D37),ISBLANK(H37),ISBLANK(K37),ISBLANK(L37)),"",IF(L37="0–9 km",0,IF(I37&lt;15,Ceilings!$S$3*I37,Ceilings!$S$3*14+Ceilings!$S$4*(I37-14))))</f>
        <v/>
      </c>
      <c r="P37" s="183" t="str">
        <f t="shared" si="4"/>
        <v/>
      </c>
      <c r="Q37" s="436"/>
      <c r="R37" s="266" t="str">
        <f>IF(OR(ISBLANK($D37),ISBLANK($K37),ISBLANK(Q37)),"",Ceilings!$V$3*Q37)</f>
        <v/>
      </c>
      <c r="S37" s="72" t="str">
        <f t="shared" si="1"/>
        <v/>
      </c>
    </row>
    <row r="38" spans="1:19" ht="15.75" customHeight="1">
      <c r="A38" s="506"/>
      <c r="B38" s="51" t="str">
        <f>IF(ISBLANK(A38),"",VLOOKUP(A38,Management!$A$11:$C$25,2,0))</f>
        <v/>
      </c>
      <c r="C38" s="433"/>
      <c r="D38" s="421"/>
      <c r="E38" s="433"/>
      <c r="F38" s="434"/>
      <c r="G38" s="95" t="str">
        <f t="shared" si="2"/>
        <v/>
      </c>
      <c r="H38" s="435"/>
      <c r="I38" s="434"/>
      <c r="J38" s="95" t="str">
        <f t="shared" si="3"/>
        <v/>
      </c>
      <c r="K38" s="81"/>
      <c r="L38" s="362"/>
      <c r="M38" s="256" t="str">
        <f t="shared" si="0"/>
        <v/>
      </c>
      <c r="N38" s="184" t="str">
        <f>IF(OR(ISBLANK($D38),ISBLANK($K38),ISBLANK($L38)),"",IF($L38="0–9 km",0,IF(LEFT($D38,15)="Long-term teach",VLOOKUP($K38,Subsistence,2,0)*14+VLOOKUP($K38,Subsistence,3,0)*46+VLOOKUP($K38,Subsistence,4,0)*($F38-60),IF(LEFT($D38,15)="Short-term join",IF($F38&lt;15,Ceilings!$S$3*$F38,Ceilings!$S$3*14+Ceilings!$S$4*($F38-14)),IF(LEFT($D38,15)="Long-term study",VLOOKUP($K38,Subsistence,5,0)*ROUND($F38/30,0),IF($F38&lt;15,Ceilings!$S$6*$F38,Ceilings!$S$6*14+Ceilings!$S$7*($F38-14)))))))</f>
        <v/>
      </c>
      <c r="O38" s="185" t="str">
        <f>IF(OR(ISBLANK(D38),ISBLANK(H38),ISBLANK(K38),ISBLANK(L38)),"",IF(L38="0–9 km",0,IF(I38&lt;15,Ceilings!$S$3*I38,Ceilings!$S$3*14+Ceilings!$S$4*(I38-14))))</f>
        <v/>
      </c>
      <c r="P38" s="183" t="str">
        <f t="shared" si="4"/>
        <v/>
      </c>
      <c r="Q38" s="436"/>
      <c r="R38" s="266" t="str">
        <f>IF(OR(ISBLANK($D38),ISBLANK($K38),ISBLANK(Q38)),"",Ceilings!$V$3*Q38)</f>
        <v/>
      </c>
      <c r="S38" s="72" t="str">
        <f t="shared" si="1"/>
        <v/>
      </c>
    </row>
    <row r="39" spans="1:19" ht="15.75" customHeight="1">
      <c r="A39" s="506"/>
      <c r="B39" s="51" t="str">
        <f>IF(ISBLANK(A39),"",VLOOKUP(A39,Management!$A$11:$C$25,2,0))</f>
        <v/>
      </c>
      <c r="C39" s="433"/>
      <c r="D39" s="421"/>
      <c r="E39" s="433"/>
      <c r="F39" s="434"/>
      <c r="G39" s="95" t="str">
        <f t="shared" si="2"/>
        <v/>
      </c>
      <c r="H39" s="435"/>
      <c r="I39" s="434"/>
      <c r="J39" s="95" t="str">
        <f t="shared" si="3"/>
        <v/>
      </c>
      <c r="K39" s="81"/>
      <c r="L39" s="362"/>
      <c r="M39" s="256" t="str">
        <f t="shared" ref="M39:M70" si="5">IF(ISBLANK(L39),"",(E39+H39)*VLOOKUP(L39,TravelGrant,2,0))</f>
        <v/>
      </c>
      <c r="N39" s="184" t="str">
        <f>IF(OR(ISBLANK($D39),ISBLANK($K39),ISBLANK($L39)),"",IF($L39="0–9 km",0,IF(LEFT($D39,15)="Long-term teach",VLOOKUP($K39,Subsistence,2,0)*14+VLOOKUP($K39,Subsistence,3,0)*46+VLOOKUP($K39,Subsistence,4,0)*($F39-60),IF(LEFT($D39,15)="Short-term join",IF($F39&lt;15,Ceilings!$S$3*$F39,Ceilings!$S$3*14+Ceilings!$S$4*($F39-14)),IF(LEFT($D39,15)="Long-term study",VLOOKUP($K39,Subsistence,5,0)*ROUND($F39/30,0),IF($F39&lt;15,Ceilings!$S$6*$F39,Ceilings!$S$6*14+Ceilings!$S$7*($F39-14)))))))</f>
        <v/>
      </c>
      <c r="O39" s="185" t="str">
        <f>IF(OR(ISBLANK(D39),ISBLANK(H39),ISBLANK(K39),ISBLANK(L39)),"",IF(L39="0–9 km",0,IF(I39&lt;15,Ceilings!$S$3*I39,Ceilings!$S$3*14+Ceilings!$S$4*(I39-14))))</f>
        <v/>
      </c>
      <c r="P39" s="183" t="str">
        <f t="shared" si="4"/>
        <v/>
      </c>
      <c r="Q39" s="436"/>
      <c r="R39" s="266" t="str">
        <f>IF(OR(ISBLANK($D39),ISBLANK($K39),ISBLANK(Q39)),"",Ceilings!$V$3*Q39)</f>
        <v/>
      </c>
      <c r="S39" s="72" t="str">
        <f t="shared" ref="S39:S70" si="6">IF(ISBLANK($A39),"",IF(OR(ISBLANK($C39),ISBLANK($D39),ISBLANK($E39),ISBLANK($K39)),"Missing data",SUM($M39,$P39,$R39)))</f>
        <v/>
      </c>
    </row>
    <row r="40" spans="1:19" ht="15.75" customHeight="1">
      <c r="A40" s="506"/>
      <c r="B40" s="51" t="str">
        <f>IF(ISBLANK(A40),"",VLOOKUP(A40,Management!$A$11:$C$25,2,0))</f>
        <v/>
      </c>
      <c r="C40" s="433"/>
      <c r="D40" s="421"/>
      <c r="E40" s="433"/>
      <c r="F40" s="434"/>
      <c r="G40" s="95" t="str">
        <f t="shared" si="2"/>
        <v/>
      </c>
      <c r="H40" s="435"/>
      <c r="I40" s="434"/>
      <c r="J40" s="95" t="str">
        <f t="shared" si="3"/>
        <v/>
      </c>
      <c r="K40" s="81"/>
      <c r="L40" s="362"/>
      <c r="M40" s="256" t="str">
        <f t="shared" si="5"/>
        <v/>
      </c>
      <c r="N40" s="184" t="str">
        <f>IF(OR(ISBLANK($D40),ISBLANK($K40),ISBLANK($L40)),"",IF($L40="0–9 km",0,IF(LEFT($D40,15)="Long-term teach",VLOOKUP($K40,Subsistence,2,0)*14+VLOOKUP($K40,Subsistence,3,0)*46+VLOOKUP($K40,Subsistence,4,0)*($F40-60),IF(LEFT($D40,15)="Short-term join",IF($F40&lt;15,Ceilings!$S$3*$F40,Ceilings!$S$3*14+Ceilings!$S$4*($F40-14)),IF(LEFT($D40,15)="Long-term study",VLOOKUP($K40,Subsistence,5,0)*ROUND($F40/30,0),IF($F40&lt;15,Ceilings!$S$6*$F40,Ceilings!$S$6*14+Ceilings!$S$7*($F40-14)))))))</f>
        <v/>
      </c>
      <c r="O40" s="185" t="str">
        <f>IF(OR(ISBLANK(D40),ISBLANK(H40),ISBLANK(K40),ISBLANK(L40)),"",IF(L40="0–9 km",0,IF(I40&lt;15,Ceilings!$S$3*I40,Ceilings!$S$3*14+Ceilings!$S$4*(I40-14))))</f>
        <v/>
      </c>
      <c r="P40" s="183" t="str">
        <f t="shared" si="4"/>
        <v/>
      </c>
      <c r="Q40" s="436"/>
      <c r="R40" s="266" t="str">
        <f>IF(OR(ISBLANK($D40),ISBLANK($K40),ISBLANK(Q40)),"",Ceilings!$V$3*Q40)</f>
        <v/>
      </c>
      <c r="S40" s="72" t="str">
        <f t="shared" si="6"/>
        <v/>
      </c>
    </row>
    <row r="41" spans="1:19" ht="15.75" customHeight="1">
      <c r="A41" s="506"/>
      <c r="B41" s="51" t="str">
        <f>IF(ISBLANK(A41),"",VLOOKUP(A41,Management!$A$11:$C$25,2,0))</f>
        <v/>
      </c>
      <c r="C41" s="433"/>
      <c r="D41" s="421"/>
      <c r="E41" s="433"/>
      <c r="F41" s="434"/>
      <c r="G41" s="95" t="str">
        <f t="shared" si="2"/>
        <v/>
      </c>
      <c r="H41" s="435"/>
      <c r="I41" s="434"/>
      <c r="J41" s="95" t="str">
        <f t="shared" si="3"/>
        <v/>
      </c>
      <c r="K41" s="81"/>
      <c r="L41" s="362"/>
      <c r="M41" s="256" t="str">
        <f t="shared" si="5"/>
        <v/>
      </c>
      <c r="N41" s="184" t="str">
        <f>IF(OR(ISBLANK($D41),ISBLANK($K41),ISBLANK($L41)),"",IF($L41="0–9 km",0,IF(LEFT($D41,15)="Long-term teach",VLOOKUP($K41,Subsistence,2,0)*14+VLOOKUP($K41,Subsistence,3,0)*46+VLOOKUP($K41,Subsistence,4,0)*($F41-60),IF(LEFT($D41,15)="Short-term join",IF($F41&lt;15,Ceilings!$S$3*$F41,Ceilings!$S$3*14+Ceilings!$S$4*($F41-14)),IF(LEFT($D41,15)="Long-term study",VLOOKUP($K41,Subsistence,5,0)*ROUND($F41/30,0),IF($F41&lt;15,Ceilings!$S$6*$F41,Ceilings!$S$6*14+Ceilings!$S$7*($F41-14)))))))</f>
        <v/>
      </c>
      <c r="O41" s="185" t="str">
        <f>IF(OR(ISBLANK(D41),ISBLANK(H41),ISBLANK(K41),ISBLANK(L41)),"",IF(L41="0–9 km",0,IF(I41&lt;15,Ceilings!$S$3*I41,Ceilings!$S$3*14+Ceilings!$S$4*(I41-14))))</f>
        <v/>
      </c>
      <c r="P41" s="183" t="str">
        <f t="shared" si="4"/>
        <v/>
      </c>
      <c r="Q41" s="436"/>
      <c r="R41" s="266" t="str">
        <f>IF(OR(ISBLANK($D41),ISBLANK($K41),ISBLANK(Q41)),"",Ceilings!$V$3*Q41)</f>
        <v/>
      </c>
      <c r="S41" s="72" t="str">
        <f t="shared" si="6"/>
        <v/>
      </c>
    </row>
    <row r="42" spans="1:19" ht="15.75" customHeight="1">
      <c r="A42" s="506"/>
      <c r="B42" s="51" t="str">
        <f>IF(ISBLANK(A42),"",VLOOKUP(A42,Management!$A$11:$C$25,2,0))</f>
        <v/>
      </c>
      <c r="C42" s="433"/>
      <c r="D42" s="421"/>
      <c r="E42" s="433"/>
      <c r="F42" s="434"/>
      <c r="G42" s="95" t="str">
        <f t="shared" si="2"/>
        <v/>
      </c>
      <c r="H42" s="435"/>
      <c r="I42" s="434"/>
      <c r="J42" s="95" t="str">
        <f t="shared" si="3"/>
        <v/>
      </c>
      <c r="K42" s="81"/>
      <c r="L42" s="362"/>
      <c r="M42" s="256" t="str">
        <f t="shared" si="5"/>
        <v/>
      </c>
      <c r="N42" s="184" t="str">
        <f>IF(OR(ISBLANK($D42),ISBLANK($K42),ISBLANK($L42)),"",IF($L42="0–9 km",0,IF(LEFT($D42,15)="Long-term teach",VLOOKUP($K42,Subsistence,2,0)*14+VLOOKUP($K42,Subsistence,3,0)*46+VLOOKUP($K42,Subsistence,4,0)*($F42-60),IF(LEFT($D42,15)="Short-term join",IF($F42&lt;15,Ceilings!$S$3*$F42,Ceilings!$S$3*14+Ceilings!$S$4*($F42-14)),IF(LEFT($D42,15)="Long-term study",VLOOKUP($K42,Subsistence,5,0)*ROUND($F42/30,0),IF($F42&lt;15,Ceilings!$S$6*$F42,Ceilings!$S$6*14+Ceilings!$S$7*($F42-14)))))))</f>
        <v/>
      </c>
      <c r="O42" s="185" t="str">
        <f>IF(OR(ISBLANK(D42),ISBLANK(H42),ISBLANK(K42),ISBLANK(L42)),"",IF(L42="0–9 km",0,IF(I42&lt;15,Ceilings!$S$3*I42,Ceilings!$S$3*14+Ceilings!$S$4*(I42-14))))</f>
        <v/>
      </c>
      <c r="P42" s="183" t="str">
        <f t="shared" si="4"/>
        <v/>
      </c>
      <c r="Q42" s="436"/>
      <c r="R42" s="266" t="str">
        <f>IF(OR(ISBLANK($D42),ISBLANK($K42),ISBLANK(Q42)),"",Ceilings!$V$3*Q42)</f>
        <v/>
      </c>
      <c r="S42" s="72" t="str">
        <f t="shared" si="6"/>
        <v/>
      </c>
    </row>
    <row r="43" spans="1:19" ht="15.75" customHeight="1">
      <c r="A43" s="506"/>
      <c r="B43" s="51" t="str">
        <f>IF(ISBLANK(A43),"",VLOOKUP(A43,Management!$A$11:$C$25,2,0))</f>
        <v/>
      </c>
      <c r="C43" s="433"/>
      <c r="D43" s="421"/>
      <c r="E43" s="433"/>
      <c r="F43" s="434"/>
      <c r="G43" s="95" t="str">
        <f t="shared" si="2"/>
        <v/>
      </c>
      <c r="H43" s="435"/>
      <c r="I43" s="434"/>
      <c r="J43" s="95" t="str">
        <f t="shared" si="3"/>
        <v/>
      </c>
      <c r="K43" s="81"/>
      <c r="L43" s="362"/>
      <c r="M43" s="256" t="str">
        <f t="shared" si="5"/>
        <v/>
      </c>
      <c r="N43" s="184" t="str">
        <f>IF(OR(ISBLANK($D43),ISBLANK($K43),ISBLANK($L43)),"",IF($L43="0–9 km",0,IF(LEFT($D43,15)="Long-term teach",VLOOKUP($K43,Subsistence,2,0)*14+VLOOKUP($K43,Subsistence,3,0)*46+VLOOKUP($K43,Subsistence,4,0)*($F43-60),IF(LEFT($D43,15)="Short-term join",IF($F43&lt;15,Ceilings!$S$3*$F43,Ceilings!$S$3*14+Ceilings!$S$4*($F43-14)),IF(LEFT($D43,15)="Long-term study",VLOOKUP($K43,Subsistence,5,0)*ROUND($F43/30,0),IF($F43&lt;15,Ceilings!$S$6*$F43,Ceilings!$S$6*14+Ceilings!$S$7*($F43-14)))))))</f>
        <v/>
      </c>
      <c r="O43" s="185" t="str">
        <f>IF(OR(ISBLANK(D43),ISBLANK(H43),ISBLANK(K43),ISBLANK(L43)),"",IF(L43="0–9 km",0,IF(I43&lt;15,Ceilings!$S$3*I43,Ceilings!$S$3*14+Ceilings!$S$4*(I43-14))))</f>
        <v/>
      </c>
      <c r="P43" s="183" t="str">
        <f t="shared" si="4"/>
        <v/>
      </c>
      <c r="Q43" s="436"/>
      <c r="R43" s="266" t="str">
        <f>IF(OR(ISBLANK($D43),ISBLANK($K43),ISBLANK(Q43)),"",Ceilings!$V$3*Q43)</f>
        <v/>
      </c>
      <c r="S43" s="72" t="str">
        <f t="shared" si="6"/>
        <v/>
      </c>
    </row>
    <row r="44" spans="1:19" ht="15.75" customHeight="1">
      <c r="A44" s="506"/>
      <c r="B44" s="51" t="str">
        <f>IF(ISBLANK(A44),"",VLOOKUP(A44,Management!$A$11:$C$25,2,0))</f>
        <v/>
      </c>
      <c r="C44" s="433"/>
      <c r="D44" s="421"/>
      <c r="E44" s="433"/>
      <c r="F44" s="434"/>
      <c r="G44" s="95" t="str">
        <f t="shared" si="2"/>
        <v/>
      </c>
      <c r="H44" s="435"/>
      <c r="I44" s="434"/>
      <c r="J44" s="95" t="str">
        <f t="shared" si="3"/>
        <v/>
      </c>
      <c r="K44" s="81"/>
      <c r="L44" s="362"/>
      <c r="M44" s="256" t="str">
        <f t="shared" si="5"/>
        <v/>
      </c>
      <c r="N44" s="184" t="str">
        <f>IF(OR(ISBLANK($D44),ISBLANK($K44),ISBLANK($L44)),"",IF($L44="0–9 km",0,IF(LEFT($D44,15)="Long-term teach",VLOOKUP($K44,Subsistence,2,0)*14+VLOOKUP($K44,Subsistence,3,0)*46+VLOOKUP($K44,Subsistence,4,0)*($F44-60),IF(LEFT($D44,15)="Short-term join",IF($F44&lt;15,Ceilings!$S$3*$F44,Ceilings!$S$3*14+Ceilings!$S$4*($F44-14)),IF(LEFT($D44,15)="Long-term study",VLOOKUP($K44,Subsistence,5,0)*ROUND($F44/30,0),IF($F44&lt;15,Ceilings!$S$6*$F44,Ceilings!$S$6*14+Ceilings!$S$7*($F44-14)))))))</f>
        <v/>
      </c>
      <c r="O44" s="185" t="str">
        <f>IF(OR(ISBLANK(D44),ISBLANK(H44),ISBLANK(K44),ISBLANK(L44)),"",IF(L44="0–9 km",0,IF(I44&lt;15,Ceilings!$S$3*I44,Ceilings!$S$3*14+Ceilings!$S$4*(I44-14))))</f>
        <v/>
      </c>
      <c r="P44" s="183" t="str">
        <f t="shared" si="4"/>
        <v/>
      </c>
      <c r="Q44" s="436"/>
      <c r="R44" s="266" t="str">
        <f>IF(OR(ISBLANK($D44),ISBLANK($K44),ISBLANK(Q44)),"",Ceilings!$V$3*Q44)</f>
        <v/>
      </c>
      <c r="S44" s="72" t="str">
        <f t="shared" si="6"/>
        <v/>
      </c>
    </row>
    <row r="45" spans="1:19" ht="15.75" customHeight="1">
      <c r="A45" s="506"/>
      <c r="B45" s="51" t="str">
        <f>IF(ISBLANK(A45),"",VLOOKUP(A45,Management!$A$11:$C$25,2,0))</f>
        <v/>
      </c>
      <c r="C45" s="433"/>
      <c r="D45" s="421"/>
      <c r="E45" s="433"/>
      <c r="F45" s="434"/>
      <c r="G45" s="95" t="str">
        <f t="shared" si="2"/>
        <v/>
      </c>
      <c r="H45" s="435"/>
      <c r="I45" s="434"/>
      <c r="J45" s="95" t="str">
        <f t="shared" si="3"/>
        <v/>
      </c>
      <c r="K45" s="81"/>
      <c r="L45" s="362"/>
      <c r="M45" s="256" t="str">
        <f t="shared" si="5"/>
        <v/>
      </c>
      <c r="N45" s="184" t="str">
        <f>IF(OR(ISBLANK($D45),ISBLANK($K45),ISBLANK($L45)),"",IF($L45="0–9 km",0,IF(LEFT($D45,15)="Long-term teach",VLOOKUP($K45,Subsistence,2,0)*14+VLOOKUP($K45,Subsistence,3,0)*46+VLOOKUP($K45,Subsistence,4,0)*($F45-60),IF(LEFT($D45,15)="Short-term join",IF($F45&lt;15,Ceilings!$S$3*$F45,Ceilings!$S$3*14+Ceilings!$S$4*($F45-14)),IF(LEFT($D45,15)="Long-term study",VLOOKUP($K45,Subsistence,5,0)*ROUND($F45/30,0),IF($F45&lt;15,Ceilings!$S$6*$F45,Ceilings!$S$6*14+Ceilings!$S$7*($F45-14)))))))</f>
        <v/>
      </c>
      <c r="O45" s="185" t="str">
        <f>IF(OR(ISBLANK(D45),ISBLANK(H45),ISBLANK(K45),ISBLANK(L45)),"",IF(L45="0–9 km",0,IF(I45&lt;15,Ceilings!$S$3*I45,Ceilings!$S$3*14+Ceilings!$S$4*(I45-14))))</f>
        <v/>
      </c>
      <c r="P45" s="183" t="str">
        <f t="shared" si="4"/>
        <v/>
      </c>
      <c r="Q45" s="436"/>
      <c r="R45" s="266" t="str">
        <f>IF(OR(ISBLANK($D45),ISBLANK($K45),ISBLANK(Q45)),"",Ceilings!$V$3*Q45)</f>
        <v/>
      </c>
      <c r="S45" s="72" t="str">
        <f t="shared" si="6"/>
        <v/>
      </c>
    </row>
    <row r="46" spans="1:19" ht="15.75" customHeight="1">
      <c r="A46" s="506"/>
      <c r="B46" s="51" t="str">
        <f>IF(ISBLANK(A46),"",VLOOKUP(A46,Management!$A$11:$C$25,2,0))</f>
        <v/>
      </c>
      <c r="C46" s="433"/>
      <c r="D46" s="421"/>
      <c r="E46" s="433"/>
      <c r="F46" s="434"/>
      <c r="G46" s="95" t="str">
        <f t="shared" si="2"/>
        <v/>
      </c>
      <c r="H46" s="435"/>
      <c r="I46" s="434"/>
      <c r="J46" s="95" t="str">
        <f t="shared" si="3"/>
        <v/>
      </c>
      <c r="K46" s="81"/>
      <c r="L46" s="362"/>
      <c r="M46" s="256" t="str">
        <f t="shared" si="5"/>
        <v/>
      </c>
      <c r="N46" s="184" t="str">
        <f>IF(OR(ISBLANK($D46),ISBLANK($K46),ISBLANK($L46)),"",IF($L46="0–9 km",0,IF(LEFT($D46,15)="Long-term teach",VLOOKUP($K46,Subsistence,2,0)*14+VLOOKUP($K46,Subsistence,3,0)*46+VLOOKUP($K46,Subsistence,4,0)*($F46-60),IF(LEFT($D46,15)="Short-term join",IF($F46&lt;15,Ceilings!$S$3*$F46,Ceilings!$S$3*14+Ceilings!$S$4*($F46-14)),IF(LEFT($D46,15)="Long-term study",VLOOKUP($K46,Subsistence,5,0)*ROUND($F46/30,0),IF($F46&lt;15,Ceilings!$S$6*$F46,Ceilings!$S$6*14+Ceilings!$S$7*($F46-14)))))))</f>
        <v/>
      </c>
      <c r="O46" s="185" t="str">
        <f>IF(OR(ISBLANK(D46),ISBLANK(H46),ISBLANK(K46),ISBLANK(L46)),"",IF(L46="0–9 km",0,IF(I46&lt;15,Ceilings!$S$3*I46,Ceilings!$S$3*14+Ceilings!$S$4*(I46-14))))</f>
        <v/>
      </c>
      <c r="P46" s="183" t="str">
        <f t="shared" si="4"/>
        <v/>
      </c>
      <c r="Q46" s="436"/>
      <c r="R46" s="266" t="str">
        <f>IF(OR(ISBLANK($D46),ISBLANK($K46),ISBLANK(Q46)),"",Ceilings!$V$3*Q46)</f>
        <v/>
      </c>
      <c r="S46" s="72" t="str">
        <f t="shared" si="6"/>
        <v/>
      </c>
    </row>
    <row r="47" spans="1:19" ht="15.75" customHeight="1">
      <c r="A47" s="506"/>
      <c r="B47" s="51" t="str">
        <f>IF(ISBLANK(A47),"",VLOOKUP(A47,Management!$A$11:$C$25,2,0))</f>
        <v/>
      </c>
      <c r="C47" s="433"/>
      <c r="D47" s="421"/>
      <c r="E47" s="433"/>
      <c r="F47" s="434"/>
      <c r="G47" s="95" t="str">
        <f t="shared" si="2"/>
        <v/>
      </c>
      <c r="H47" s="435"/>
      <c r="I47" s="434"/>
      <c r="J47" s="95" t="str">
        <f t="shared" si="3"/>
        <v/>
      </c>
      <c r="K47" s="81"/>
      <c r="L47" s="362"/>
      <c r="M47" s="256" t="str">
        <f t="shared" si="5"/>
        <v/>
      </c>
      <c r="N47" s="184" t="str">
        <f>IF(OR(ISBLANK($D47),ISBLANK($K47),ISBLANK($L47)),"",IF($L47="0–9 km",0,IF(LEFT($D47,15)="Long-term teach",VLOOKUP($K47,Subsistence,2,0)*14+VLOOKUP($K47,Subsistence,3,0)*46+VLOOKUP($K47,Subsistence,4,0)*($F47-60),IF(LEFT($D47,15)="Short-term join",IF($F47&lt;15,Ceilings!$S$3*$F47,Ceilings!$S$3*14+Ceilings!$S$4*($F47-14)),IF(LEFT($D47,15)="Long-term study",VLOOKUP($K47,Subsistence,5,0)*ROUND($F47/30,0),IF($F47&lt;15,Ceilings!$S$6*$F47,Ceilings!$S$6*14+Ceilings!$S$7*($F47-14)))))))</f>
        <v/>
      </c>
      <c r="O47" s="185" t="str">
        <f>IF(OR(ISBLANK(D47),ISBLANK(H47),ISBLANK(K47),ISBLANK(L47)),"",IF(L47="0–9 km",0,IF(I47&lt;15,Ceilings!$S$3*I47,Ceilings!$S$3*14+Ceilings!$S$4*(I47-14))))</f>
        <v/>
      </c>
      <c r="P47" s="183" t="str">
        <f t="shared" si="4"/>
        <v/>
      </c>
      <c r="Q47" s="436"/>
      <c r="R47" s="266" t="str">
        <f>IF(OR(ISBLANK($D47),ISBLANK($K47),ISBLANK(Q47)),"",Ceilings!$V$3*Q47)</f>
        <v/>
      </c>
      <c r="S47" s="72" t="str">
        <f t="shared" si="6"/>
        <v/>
      </c>
    </row>
    <row r="48" spans="1:19" ht="15.75" customHeight="1">
      <c r="A48" s="506"/>
      <c r="B48" s="51" t="str">
        <f>IF(ISBLANK(A48),"",VLOOKUP(A48,Management!$A$11:$C$25,2,0))</f>
        <v/>
      </c>
      <c r="C48" s="433"/>
      <c r="D48" s="421"/>
      <c r="E48" s="433"/>
      <c r="F48" s="434"/>
      <c r="G48" s="95" t="str">
        <f t="shared" si="2"/>
        <v/>
      </c>
      <c r="H48" s="435"/>
      <c r="I48" s="434"/>
      <c r="J48" s="95" t="str">
        <f t="shared" si="3"/>
        <v/>
      </c>
      <c r="K48" s="81"/>
      <c r="L48" s="362"/>
      <c r="M48" s="256" t="str">
        <f t="shared" si="5"/>
        <v/>
      </c>
      <c r="N48" s="184" t="str">
        <f>IF(OR(ISBLANK($D48),ISBLANK($K48),ISBLANK($L48)),"",IF($L48="0–9 km",0,IF(LEFT($D48,15)="Long-term teach",VLOOKUP($K48,Subsistence,2,0)*14+VLOOKUP($K48,Subsistence,3,0)*46+VLOOKUP($K48,Subsistence,4,0)*($F48-60),IF(LEFT($D48,15)="Short-term join",IF($F48&lt;15,Ceilings!$S$3*$F48,Ceilings!$S$3*14+Ceilings!$S$4*($F48-14)),IF(LEFT($D48,15)="Long-term study",VLOOKUP($K48,Subsistence,5,0)*ROUND($F48/30,0),IF($F48&lt;15,Ceilings!$S$6*$F48,Ceilings!$S$6*14+Ceilings!$S$7*($F48-14)))))))</f>
        <v/>
      </c>
      <c r="O48" s="185" t="str">
        <f>IF(OR(ISBLANK(D48),ISBLANK(H48),ISBLANK(K48),ISBLANK(L48)),"",IF(L48="0–9 km",0,IF(I48&lt;15,Ceilings!$S$3*I48,Ceilings!$S$3*14+Ceilings!$S$4*(I48-14))))</f>
        <v/>
      </c>
      <c r="P48" s="183" t="str">
        <f t="shared" si="4"/>
        <v/>
      </c>
      <c r="Q48" s="436"/>
      <c r="R48" s="266" t="str">
        <f>IF(OR(ISBLANK($D48),ISBLANK($K48),ISBLANK(Q48)),"",Ceilings!$V$3*Q48)</f>
        <v/>
      </c>
      <c r="S48" s="72" t="str">
        <f t="shared" si="6"/>
        <v/>
      </c>
    </row>
    <row r="49" spans="1:19" ht="15.75" customHeight="1">
      <c r="A49" s="506"/>
      <c r="B49" s="51" t="str">
        <f>IF(ISBLANK(A49),"",VLOOKUP(A49,Management!$A$11:$C$25,2,0))</f>
        <v/>
      </c>
      <c r="C49" s="433"/>
      <c r="D49" s="421"/>
      <c r="E49" s="433"/>
      <c r="F49" s="434"/>
      <c r="G49" s="95" t="str">
        <f t="shared" si="2"/>
        <v/>
      </c>
      <c r="H49" s="435"/>
      <c r="I49" s="434"/>
      <c r="J49" s="95" t="str">
        <f t="shared" si="3"/>
        <v/>
      </c>
      <c r="K49" s="81"/>
      <c r="L49" s="362"/>
      <c r="M49" s="256" t="str">
        <f t="shared" si="5"/>
        <v/>
      </c>
      <c r="N49" s="184" t="str">
        <f>IF(OR(ISBLANK($D49),ISBLANK($K49),ISBLANK($L49)),"",IF($L49="0–9 km",0,IF(LEFT($D49,15)="Long-term teach",VLOOKUP($K49,Subsistence,2,0)*14+VLOOKUP($K49,Subsistence,3,0)*46+VLOOKUP($K49,Subsistence,4,0)*($F49-60),IF(LEFT($D49,15)="Short-term join",IF($F49&lt;15,Ceilings!$S$3*$F49,Ceilings!$S$3*14+Ceilings!$S$4*($F49-14)),IF(LEFT($D49,15)="Long-term study",VLOOKUP($K49,Subsistence,5,0)*ROUND($F49/30,0),IF($F49&lt;15,Ceilings!$S$6*$F49,Ceilings!$S$6*14+Ceilings!$S$7*($F49-14)))))))</f>
        <v/>
      </c>
      <c r="O49" s="185" t="str">
        <f>IF(OR(ISBLANK(D49),ISBLANK(H49),ISBLANK(K49),ISBLANK(L49)),"",IF(L49="0–9 km",0,IF(I49&lt;15,Ceilings!$S$3*I49,Ceilings!$S$3*14+Ceilings!$S$4*(I49-14))))</f>
        <v/>
      </c>
      <c r="P49" s="183" t="str">
        <f t="shared" si="4"/>
        <v/>
      </c>
      <c r="Q49" s="436"/>
      <c r="R49" s="266" t="str">
        <f>IF(OR(ISBLANK($D49),ISBLANK($K49),ISBLANK(Q49)),"",Ceilings!$V$3*Q49)</f>
        <v/>
      </c>
      <c r="S49" s="72" t="str">
        <f t="shared" si="6"/>
        <v/>
      </c>
    </row>
    <row r="50" spans="1:19" ht="15.75" customHeight="1">
      <c r="A50" s="506"/>
      <c r="B50" s="51" t="str">
        <f>IF(ISBLANK(A50),"",VLOOKUP(A50,Management!$A$11:$C$25,2,0))</f>
        <v/>
      </c>
      <c r="C50" s="433"/>
      <c r="D50" s="421"/>
      <c r="E50" s="433"/>
      <c r="F50" s="434"/>
      <c r="G50" s="95" t="str">
        <f t="shared" si="2"/>
        <v/>
      </c>
      <c r="H50" s="435"/>
      <c r="I50" s="434"/>
      <c r="J50" s="95" t="str">
        <f t="shared" si="3"/>
        <v/>
      </c>
      <c r="K50" s="81"/>
      <c r="L50" s="362"/>
      <c r="M50" s="256" t="str">
        <f t="shared" si="5"/>
        <v/>
      </c>
      <c r="N50" s="184" t="str">
        <f>IF(OR(ISBLANK($D50),ISBLANK($K50),ISBLANK($L50)),"",IF($L50="0–9 km",0,IF(LEFT($D50,15)="Long-term teach",VLOOKUP($K50,Subsistence,2,0)*14+VLOOKUP($K50,Subsistence,3,0)*46+VLOOKUP($K50,Subsistence,4,0)*($F50-60),IF(LEFT($D50,15)="Short-term join",IF($F50&lt;15,Ceilings!$S$3*$F50,Ceilings!$S$3*14+Ceilings!$S$4*($F50-14)),IF(LEFT($D50,15)="Long-term study",VLOOKUP($K50,Subsistence,5,0)*ROUND($F50/30,0),IF($F50&lt;15,Ceilings!$S$6*$F50,Ceilings!$S$6*14+Ceilings!$S$7*($F50-14)))))))</f>
        <v/>
      </c>
      <c r="O50" s="185" t="str">
        <f>IF(OR(ISBLANK(D50),ISBLANK(H50),ISBLANK(K50),ISBLANK(L50)),"",IF(L50="0–9 km",0,IF(I50&lt;15,Ceilings!$S$3*I50,Ceilings!$S$3*14+Ceilings!$S$4*(I50-14))))</f>
        <v/>
      </c>
      <c r="P50" s="183" t="str">
        <f t="shared" si="4"/>
        <v/>
      </c>
      <c r="Q50" s="436"/>
      <c r="R50" s="266" t="str">
        <f>IF(OR(ISBLANK($D50),ISBLANK($K50),ISBLANK(Q50)),"",Ceilings!$V$3*Q50)</f>
        <v/>
      </c>
      <c r="S50" s="72" t="str">
        <f t="shared" si="6"/>
        <v/>
      </c>
    </row>
    <row r="51" spans="1:19" ht="15.75" customHeight="1">
      <c r="A51" s="506"/>
      <c r="B51" s="51" t="str">
        <f>IF(ISBLANK(A51),"",VLOOKUP(A51,Management!$A$11:$C$25,2,0))</f>
        <v/>
      </c>
      <c r="C51" s="433"/>
      <c r="D51" s="421"/>
      <c r="E51" s="433"/>
      <c r="F51" s="434"/>
      <c r="G51" s="95" t="str">
        <f t="shared" si="2"/>
        <v/>
      </c>
      <c r="H51" s="435"/>
      <c r="I51" s="434"/>
      <c r="J51" s="95" t="str">
        <f t="shared" si="3"/>
        <v/>
      </c>
      <c r="K51" s="81"/>
      <c r="L51" s="362"/>
      <c r="M51" s="256" t="str">
        <f t="shared" si="5"/>
        <v/>
      </c>
      <c r="N51" s="184" t="str">
        <f>IF(OR(ISBLANK($D51),ISBLANK($K51),ISBLANK($L51)),"",IF($L51="0–9 km",0,IF(LEFT($D51,15)="Long-term teach",VLOOKUP($K51,Subsistence,2,0)*14+VLOOKUP($K51,Subsistence,3,0)*46+VLOOKUP($K51,Subsistence,4,0)*($F51-60),IF(LEFT($D51,15)="Short-term join",IF($F51&lt;15,Ceilings!$S$3*$F51,Ceilings!$S$3*14+Ceilings!$S$4*($F51-14)),IF(LEFT($D51,15)="Long-term study",VLOOKUP($K51,Subsistence,5,0)*ROUND($F51/30,0),IF($F51&lt;15,Ceilings!$S$6*$F51,Ceilings!$S$6*14+Ceilings!$S$7*($F51-14)))))))</f>
        <v/>
      </c>
      <c r="O51" s="185" t="str">
        <f>IF(OR(ISBLANK(D51),ISBLANK(H51),ISBLANK(K51),ISBLANK(L51)),"",IF(L51="0–9 km",0,IF(I51&lt;15,Ceilings!$S$3*I51,Ceilings!$S$3*14+Ceilings!$S$4*(I51-14))))</f>
        <v/>
      </c>
      <c r="P51" s="183" t="str">
        <f t="shared" si="4"/>
        <v/>
      </c>
      <c r="Q51" s="436"/>
      <c r="R51" s="266" t="str">
        <f>IF(OR(ISBLANK($D51),ISBLANK($K51),ISBLANK(Q51)),"",Ceilings!$V$3*Q51)</f>
        <v/>
      </c>
      <c r="S51" s="72" t="str">
        <f t="shared" si="6"/>
        <v/>
      </c>
    </row>
    <row r="52" spans="1:19" ht="15.75" customHeight="1">
      <c r="A52" s="506"/>
      <c r="B52" s="51" t="str">
        <f>IF(ISBLANK(A52),"",VLOOKUP(A52,Management!$A$11:$C$25,2,0))</f>
        <v/>
      </c>
      <c r="C52" s="433"/>
      <c r="D52" s="421"/>
      <c r="E52" s="433"/>
      <c r="F52" s="434"/>
      <c r="G52" s="95" t="str">
        <f t="shared" si="2"/>
        <v/>
      </c>
      <c r="H52" s="435"/>
      <c r="I52" s="434"/>
      <c r="J52" s="95" t="str">
        <f t="shared" si="3"/>
        <v/>
      </c>
      <c r="K52" s="81"/>
      <c r="L52" s="362"/>
      <c r="M52" s="256" t="str">
        <f t="shared" si="5"/>
        <v/>
      </c>
      <c r="N52" s="184" t="str">
        <f>IF(OR(ISBLANK($D52),ISBLANK($K52),ISBLANK($L52)),"",IF($L52="0–9 km",0,IF(LEFT($D52,15)="Long-term teach",VLOOKUP($K52,Subsistence,2,0)*14+VLOOKUP($K52,Subsistence,3,0)*46+VLOOKUP($K52,Subsistence,4,0)*($F52-60),IF(LEFT($D52,15)="Short-term join",IF($F52&lt;15,Ceilings!$S$3*$F52,Ceilings!$S$3*14+Ceilings!$S$4*($F52-14)),IF(LEFT($D52,15)="Long-term study",VLOOKUP($K52,Subsistence,5,0)*ROUND($F52/30,0),IF($F52&lt;15,Ceilings!$S$6*$F52,Ceilings!$S$6*14+Ceilings!$S$7*($F52-14)))))))</f>
        <v/>
      </c>
      <c r="O52" s="185" t="str">
        <f>IF(OR(ISBLANK(D52),ISBLANK(H52),ISBLANK(K52),ISBLANK(L52)),"",IF(L52="0–9 km",0,IF(I52&lt;15,Ceilings!$S$3*I52,Ceilings!$S$3*14+Ceilings!$S$4*(I52-14))))</f>
        <v/>
      </c>
      <c r="P52" s="183" t="str">
        <f t="shared" si="4"/>
        <v/>
      </c>
      <c r="Q52" s="436"/>
      <c r="R52" s="266" t="str">
        <f>IF(OR(ISBLANK($D52),ISBLANK($K52),ISBLANK(Q52)),"",Ceilings!$V$3*Q52)</f>
        <v/>
      </c>
      <c r="S52" s="72" t="str">
        <f t="shared" si="6"/>
        <v/>
      </c>
    </row>
    <row r="53" spans="1:19" ht="15.75" customHeight="1">
      <c r="A53" s="506"/>
      <c r="B53" s="51" t="str">
        <f>IF(ISBLANK(A53),"",VLOOKUP(A53,Management!$A$11:$C$25,2,0))</f>
        <v/>
      </c>
      <c r="C53" s="433"/>
      <c r="D53" s="421"/>
      <c r="E53" s="433"/>
      <c r="F53" s="434"/>
      <c r="G53" s="95" t="str">
        <f t="shared" si="2"/>
        <v/>
      </c>
      <c r="H53" s="435"/>
      <c r="I53" s="434"/>
      <c r="J53" s="95" t="str">
        <f t="shared" si="3"/>
        <v/>
      </c>
      <c r="K53" s="81"/>
      <c r="L53" s="362"/>
      <c r="M53" s="256" t="str">
        <f t="shared" si="5"/>
        <v/>
      </c>
      <c r="N53" s="184" t="str">
        <f>IF(OR(ISBLANK($D53),ISBLANK($K53),ISBLANK($L53)),"",IF($L53="0–9 km",0,IF(LEFT($D53,15)="Long-term teach",VLOOKUP($K53,Subsistence,2,0)*14+VLOOKUP($K53,Subsistence,3,0)*46+VLOOKUP($K53,Subsistence,4,0)*($F53-60),IF(LEFT($D53,15)="Short-term join",IF($F53&lt;15,Ceilings!$S$3*$F53,Ceilings!$S$3*14+Ceilings!$S$4*($F53-14)),IF(LEFT($D53,15)="Long-term study",VLOOKUP($K53,Subsistence,5,0)*ROUND($F53/30,0),IF($F53&lt;15,Ceilings!$S$6*$F53,Ceilings!$S$6*14+Ceilings!$S$7*($F53-14)))))))</f>
        <v/>
      </c>
      <c r="O53" s="185" t="str">
        <f>IF(OR(ISBLANK(D53),ISBLANK(H53),ISBLANK(K53),ISBLANK(L53)),"",IF(L53="0–9 km",0,IF(I53&lt;15,Ceilings!$S$3*I53,Ceilings!$S$3*14+Ceilings!$S$4*(I53-14))))</f>
        <v/>
      </c>
      <c r="P53" s="183" t="str">
        <f t="shared" si="4"/>
        <v/>
      </c>
      <c r="Q53" s="436"/>
      <c r="R53" s="266" t="str">
        <f>IF(OR(ISBLANK($D53),ISBLANK($K53),ISBLANK(Q53)),"",Ceilings!$V$3*Q53)</f>
        <v/>
      </c>
      <c r="S53" s="72" t="str">
        <f t="shared" si="6"/>
        <v/>
      </c>
    </row>
    <row r="54" spans="1:19" ht="15.75" customHeight="1">
      <c r="A54" s="506"/>
      <c r="B54" s="51" t="str">
        <f>IF(ISBLANK(A54),"",VLOOKUP(A54,Management!$A$11:$C$25,2,0))</f>
        <v/>
      </c>
      <c r="C54" s="433"/>
      <c r="D54" s="421"/>
      <c r="E54" s="433"/>
      <c r="F54" s="434"/>
      <c r="G54" s="95" t="str">
        <f t="shared" ref="G54:G76" si="7">IF(ISBLANK($D54),"","days")</f>
        <v/>
      </c>
      <c r="H54" s="435"/>
      <c r="I54" s="434"/>
      <c r="J54" s="95" t="str">
        <f t="shared" ref="J54:J76" si="8">IF(ISBLANK($D54),"","days")</f>
        <v/>
      </c>
      <c r="K54" s="81"/>
      <c r="L54" s="362"/>
      <c r="M54" s="256" t="str">
        <f t="shared" si="5"/>
        <v/>
      </c>
      <c r="N54" s="184" t="str">
        <f>IF(OR(ISBLANK($D54),ISBLANK($K54),ISBLANK($L54)),"",IF($L54="0–9 km",0,IF(LEFT($D54,15)="Long-term teach",VLOOKUP($K54,Subsistence,2,0)*14+VLOOKUP($K54,Subsistence,3,0)*46+VLOOKUP($K54,Subsistence,4,0)*($F54-60),IF(LEFT($D54,15)="Short-term join",IF($F54&lt;15,Ceilings!$S$3*$F54,Ceilings!$S$3*14+Ceilings!$S$4*($F54-14)),IF(LEFT($D54,15)="Long-term study",VLOOKUP($K54,Subsistence,5,0)*ROUND($F54/30,0),IF($F54&lt;15,Ceilings!$S$6*$F54,Ceilings!$S$6*14+Ceilings!$S$7*($F54-14)))))))</f>
        <v/>
      </c>
      <c r="O54" s="185" t="str">
        <f>IF(OR(ISBLANK(D54),ISBLANK(H54),ISBLANK(K54),ISBLANK(L54)),"",IF(L54="0–9 km",0,IF(I54&lt;15,Ceilings!$S$3*I54,Ceilings!$S$3*14+Ceilings!$S$4*(I54-14))))</f>
        <v/>
      </c>
      <c r="P54" s="183" t="str">
        <f t="shared" ref="P54:P76" si="9">IF(N54="","",$E54*N54+IF(O54="",0,$H54*O54))</f>
        <v/>
      </c>
      <c r="Q54" s="436"/>
      <c r="R54" s="266" t="str">
        <f>IF(OR(ISBLANK($D54),ISBLANK($K54),ISBLANK(Q54)),"",Ceilings!$V$3*Q54)</f>
        <v/>
      </c>
      <c r="S54" s="72" t="str">
        <f t="shared" si="6"/>
        <v/>
      </c>
    </row>
    <row r="55" spans="1:19" ht="15.75" customHeight="1">
      <c r="A55" s="506"/>
      <c r="B55" s="51" t="str">
        <f>IF(ISBLANK(A55),"",VLOOKUP(A55,Management!$A$11:$C$25,2,0))</f>
        <v/>
      </c>
      <c r="C55" s="433"/>
      <c r="D55" s="421"/>
      <c r="E55" s="433"/>
      <c r="F55" s="434"/>
      <c r="G55" s="95" t="str">
        <f t="shared" si="7"/>
        <v/>
      </c>
      <c r="H55" s="435"/>
      <c r="I55" s="434"/>
      <c r="J55" s="95" t="str">
        <f t="shared" si="8"/>
        <v/>
      </c>
      <c r="K55" s="81"/>
      <c r="L55" s="362"/>
      <c r="M55" s="256" t="str">
        <f t="shared" si="5"/>
        <v/>
      </c>
      <c r="N55" s="184" t="str">
        <f>IF(OR(ISBLANK($D55),ISBLANK($K55),ISBLANK($L55)),"",IF($L55="0–9 km",0,IF(LEFT($D55,15)="Long-term teach",VLOOKUP($K55,Subsistence,2,0)*14+VLOOKUP($K55,Subsistence,3,0)*46+VLOOKUP($K55,Subsistence,4,0)*($F55-60),IF(LEFT($D55,15)="Short-term join",IF($F55&lt;15,Ceilings!$S$3*$F55,Ceilings!$S$3*14+Ceilings!$S$4*($F55-14)),IF(LEFT($D55,15)="Long-term study",VLOOKUP($K55,Subsistence,5,0)*ROUND($F55/30,0),IF($F55&lt;15,Ceilings!$S$6*$F55,Ceilings!$S$6*14+Ceilings!$S$7*($F55-14)))))))</f>
        <v/>
      </c>
      <c r="O55" s="185" t="str">
        <f>IF(OR(ISBLANK(D55),ISBLANK(H55),ISBLANK(K55),ISBLANK(L55)),"",IF(L55="0–9 km",0,IF(I55&lt;15,Ceilings!$S$3*I55,Ceilings!$S$3*14+Ceilings!$S$4*(I55-14))))</f>
        <v/>
      </c>
      <c r="P55" s="183" t="str">
        <f t="shared" si="9"/>
        <v/>
      </c>
      <c r="Q55" s="436"/>
      <c r="R55" s="266" t="str">
        <f>IF(OR(ISBLANK($D55),ISBLANK($K55),ISBLANK(Q55)),"",Ceilings!$V$3*Q55)</f>
        <v/>
      </c>
      <c r="S55" s="72" t="str">
        <f t="shared" si="6"/>
        <v/>
      </c>
    </row>
    <row r="56" spans="1:19" ht="15.75" customHeight="1">
      <c r="A56" s="506"/>
      <c r="B56" s="51" t="str">
        <f>IF(ISBLANK(A56),"",VLOOKUP(A56,Management!$A$11:$C$25,2,0))</f>
        <v/>
      </c>
      <c r="C56" s="433"/>
      <c r="D56" s="421"/>
      <c r="E56" s="433"/>
      <c r="F56" s="434"/>
      <c r="G56" s="95" t="str">
        <f t="shared" si="7"/>
        <v/>
      </c>
      <c r="H56" s="435"/>
      <c r="I56" s="434"/>
      <c r="J56" s="95" t="str">
        <f t="shared" si="8"/>
        <v/>
      </c>
      <c r="K56" s="81"/>
      <c r="L56" s="362"/>
      <c r="M56" s="256" t="str">
        <f t="shared" si="5"/>
        <v/>
      </c>
      <c r="N56" s="184" t="str">
        <f>IF(OR(ISBLANK($D56),ISBLANK($K56),ISBLANK($L56)),"",IF($L56="0–9 km",0,IF(LEFT($D56,15)="Long-term teach",VLOOKUP($K56,Subsistence,2,0)*14+VLOOKUP($K56,Subsistence,3,0)*46+VLOOKUP($K56,Subsistence,4,0)*($F56-60),IF(LEFT($D56,15)="Short-term join",IF($F56&lt;15,Ceilings!$S$3*$F56,Ceilings!$S$3*14+Ceilings!$S$4*($F56-14)),IF(LEFT($D56,15)="Long-term study",VLOOKUP($K56,Subsistence,5,0)*ROUND($F56/30,0),IF($F56&lt;15,Ceilings!$S$6*$F56,Ceilings!$S$6*14+Ceilings!$S$7*($F56-14)))))))</f>
        <v/>
      </c>
      <c r="O56" s="185" t="str">
        <f>IF(OR(ISBLANK(D56),ISBLANK(H56),ISBLANK(K56),ISBLANK(L56)),"",IF(L56="0–9 km",0,IF(I56&lt;15,Ceilings!$S$3*I56,Ceilings!$S$3*14+Ceilings!$S$4*(I56-14))))</f>
        <v/>
      </c>
      <c r="P56" s="183" t="str">
        <f t="shared" si="9"/>
        <v/>
      </c>
      <c r="Q56" s="436"/>
      <c r="R56" s="266" t="str">
        <f>IF(OR(ISBLANK($D56),ISBLANK($K56),ISBLANK(Q56)),"",Ceilings!$V$3*Q56)</f>
        <v/>
      </c>
      <c r="S56" s="72" t="str">
        <f t="shared" si="6"/>
        <v/>
      </c>
    </row>
    <row r="57" spans="1:19" ht="15.75" customHeight="1">
      <c r="A57" s="506"/>
      <c r="B57" s="51" t="str">
        <f>IF(ISBLANK(A57),"",VLOOKUP(A57,Management!$A$11:$C$25,2,0))</f>
        <v/>
      </c>
      <c r="C57" s="433"/>
      <c r="D57" s="421"/>
      <c r="E57" s="433"/>
      <c r="F57" s="434"/>
      <c r="G57" s="95" t="str">
        <f t="shared" si="7"/>
        <v/>
      </c>
      <c r="H57" s="435"/>
      <c r="I57" s="434"/>
      <c r="J57" s="95" t="str">
        <f t="shared" si="8"/>
        <v/>
      </c>
      <c r="K57" s="81"/>
      <c r="L57" s="362"/>
      <c r="M57" s="256" t="str">
        <f t="shared" si="5"/>
        <v/>
      </c>
      <c r="N57" s="184" t="str">
        <f>IF(OR(ISBLANK($D57),ISBLANK($K57),ISBLANK($L57)),"",IF($L57="0–9 km",0,IF(LEFT($D57,15)="Long-term teach",VLOOKUP($K57,Subsistence,2,0)*14+VLOOKUP($K57,Subsistence,3,0)*46+VLOOKUP($K57,Subsistence,4,0)*($F57-60),IF(LEFT($D57,15)="Short-term join",IF($F57&lt;15,Ceilings!$S$3*$F57,Ceilings!$S$3*14+Ceilings!$S$4*($F57-14)),IF(LEFT($D57,15)="Long-term study",VLOOKUP($K57,Subsistence,5,0)*ROUND($F57/30,0),IF($F57&lt;15,Ceilings!$S$6*$F57,Ceilings!$S$6*14+Ceilings!$S$7*($F57-14)))))))</f>
        <v/>
      </c>
      <c r="O57" s="185" t="str">
        <f>IF(OR(ISBLANK(D57),ISBLANK(H57),ISBLANK(K57),ISBLANK(L57)),"",IF(L57="0–9 km",0,IF(I57&lt;15,Ceilings!$S$3*I57,Ceilings!$S$3*14+Ceilings!$S$4*(I57-14))))</f>
        <v/>
      </c>
      <c r="P57" s="183" t="str">
        <f t="shared" si="9"/>
        <v/>
      </c>
      <c r="Q57" s="436"/>
      <c r="R57" s="266" t="str">
        <f>IF(OR(ISBLANK($D57),ISBLANK($K57),ISBLANK(Q57)),"",Ceilings!$V$3*Q57)</f>
        <v/>
      </c>
      <c r="S57" s="72" t="str">
        <f t="shared" si="6"/>
        <v/>
      </c>
    </row>
    <row r="58" spans="1:19" ht="15.75" customHeight="1">
      <c r="A58" s="506"/>
      <c r="B58" s="51" t="str">
        <f>IF(ISBLANK(A58),"",VLOOKUP(A58,Management!$A$11:$C$25,2,0))</f>
        <v/>
      </c>
      <c r="C58" s="433"/>
      <c r="D58" s="421"/>
      <c r="E58" s="433"/>
      <c r="F58" s="434"/>
      <c r="G58" s="95" t="str">
        <f t="shared" si="7"/>
        <v/>
      </c>
      <c r="H58" s="435"/>
      <c r="I58" s="434"/>
      <c r="J58" s="95" t="str">
        <f t="shared" si="8"/>
        <v/>
      </c>
      <c r="K58" s="81"/>
      <c r="L58" s="362"/>
      <c r="M58" s="256" t="str">
        <f t="shared" si="5"/>
        <v/>
      </c>
      <c r="N58" s="184" t="str">
        <f>IF(OR(ISBLANK($D58),ISBLANK($K58),ISBLANK($L58)),"",IF($L58="0–9 km",0,IF(LEFT($D58,15)="Long-term teach",VLOOKUP($K58,Subsistence,2,0)*14+VLOOKUP($K58,Subsistence,3,0)*46+VLOOKUP($K58,Subsistence,4,0)*($F58-60),IF(LEFT($D58,15)="Short-term join",IF($F58&lt;15,Ceilings!$S$3*$F58,Ceilings!$S$3*14+Ceilings!$S$4*($F58-14)),IF(LEFT($D58,15)="Long-term study",VLOOKUP($K58,Subsistence,5,0)*ROUND($F58/30,0),IF($F58&lt;15,Ceilings!$S$6*$F58,Ceilings!$S$6*14+Ceilings!$S$7*($F58-14)))))))</f>
        <v/>
      </c>
      <c r="O58" s="185" t="str">
        <f>IF(OR(ISBLANK(D58),ISBLANK(H58),ISBLANK(K58),ISBLANK(L58)),"",IF(L58="0–9 km",0,IF(I58&lt;15,Ceilings!$S$3*I58,Ceilings!$S$3*14+Ceilings!$S$4*(I58-14))))</f>
        <v/>
      </c>
      <c r="P58" s="183" t="str">
        <f t="shared" si="9"/>
        <v/>
      </c>
      <c r="Q58" s="436"/>
      <c r="R58" s="266" t="str">
        <f>IF(OR(ISBLANK($D58),ISBLANK($K58),ISBLANK(Q58)),"",Ceilings!$V$3*Q58)</f>
        <v/>
      </c>
      <c r="S58" s="72" t="str">
        <f t="shared" si="6"/>
        <v/>
      </c>
    </row>
    <row r="59" spans="1:19" ht="15.75" customHeight="1">
      <c r="A59" s="506"/>
      <c r="B59" s="51" t="str">
        <f>IF(ISBLANK(A59),"",VLOOKUP(A59,Management!$A$11:$C$25,2,0))</f>
        <v/>
      </c>
      <c r="C59" s="433"/>
      <c r="D59" s="421"/>
      <c r="E59" s="433"/>
      <c r="F59" s="434"/>
      <c r="G59" s="95" t="str">
        <f t="shared" si="7"/>
        <v/>
      </c>
      <c r="H59" s="435"/>
      <c r="I59" s="434"/>
      <c r="J59" s="95" t="str">
        <f t="shared" si="8"/>
        <v/>
      </c>
      <c r="K59" s="81"/>
      <c r="L59" s="362"/>
      <c r="M59" s="256" t="str">
        <f t="shared" si="5"/>
        <v/>
      </c>
      <c r="N59" s="184" t="str">
        <f>IF(OR(ISBLANK($D59),ISBLANK($K59),ISBLANK($L59)),"",IF($L59="0–9 km",0,IF(LEFT($D59,15)="Long-term teach",VLOOKUP($K59,Subsistence,2,0)*14+VLOOKUP($K59,Subsistence,3,0)*46+VLOOKUP($K59,Subsistence,4,0)*($F59-60),IF(LEFT($D59,15)="Short-term join",IF($F59&lt;15,Ceilings!$S$3*$F59,Ceilings!$S$3*14+Ceilings!$S$4*($F59-14)),IF(LEFT($D59,15)="Long-term study",VLOOKUP($K59,Subsistence,5,0)*ROUND($F59/30,0),IF($F59&lt;15,Ceilings!$S$6*$F59,Ceilings!$S$6*14+Ceilings!$S$7*($F59-14)))))))</f>
        <v/>
      </c>
      <c r="O59" s="185" t="str">
        <f>IF(OR(ISBLANK(D59),ISBLANK(H59),ISBLANK(K59),ISBLANK(L59)),"",IF(L59="0–9 km",0,IF(I59&lt;15,Ceilings!$S$3*I59,Ceilings!$S$3*14+Ceilings!$S$4*(I59-14))))</f>
        <v/>
      </c>
      <c r="P59" s="183" t="str">
        <f t="shared" si="9"/>
        <v/>
      </c>
      <c r="Q59" s="436"/>
      <c r="R59" s="266" t="str">
        <f>IF(OR(ISBLANK($D59),ISBLANK($K59),ISBLANK(Q59)),"",Ceilings!$V$3*Q59)</f>
        <v/>
      </c>
      <c r="S59" s="72" t="str">
        <f t="shared" si="6"/>
        <v/>
      </c>
    </row>
    <row r="60" spans="1:19" ht="15.75" customHeight="1">
      <c r="A60" s="506"/>
      <c r="B60" s="51" t="str">
        <f>IF(ISBLANK(A60),"",VLOOKUP(A60,Management!$A$11:$C$25,2,0))</f>
        <v/>
      </c>
      <c r="C60" s="433"/>
      <c r="D60" s="421"/>
      <c r="E60" s="433"/>
      <c r="F60" s="434"/>
      <c r="G60" s="95" t="str">
        <f t="shared" si="7"/>
        <v/>
      </c>
      <c r="H60" s="435"/>
      <c r="I60" s="434"/>
      <c r="J60" s="95" t="str">
        <f t="shared" si="8"/>
        <v/>
      </c>
      <c r="K60" s="81"/>
      <c r="L60" s="362"/>
      <c r="M60" s="256" t="str">
        <f t="shared" si="5"/>
        <v/>
      </c>
      <c r="N60" s="184" t="str">
        <f>IF(OR(ISBLANK($D60),ISBLANK($K60),ISBLANK($L60)),"",IF($L60="0–9 km",0,IF(LEFT($D60,15)="Long-term teach",VLOOKUP($K60,Subsistence,2,0)*14+VLOOKUP($K60,Subsistence,3,0)*46+VLOOKUP($K60,Subsistence,4,0)*($F60-60),IF(LEFT($D60,15)="Short-term join",IF($F60&lt;15,Ceilings!$S$3*$F60,Ceilings!$S$3*14+Ceilings!$S$4*($F60-14)),IF(LEFT($D60,15)="Long-term study",VLOOKUP($K60,Subsistence,5,0)*ROUND($F60/30,0),IF($F60&lt;15,Ceilings!$S$6*$F60,Ceilings!$S$6*14+Ceilings!$S$7*($F60-14)))))))</f>
        <v/>
      </c>
      <c r="O60" s="185" t="str">
        <f>IF(OR(ISBLANK(D60),ISBLANK(H60),ISBLANK(K60),ISBLANK(L60)),"",IF(L60="0–9 km",0,IF(I60&lt;15,Ceilings!$S$3*I60,Ceilings!$S$3*14+Ceilings!$S$4*(I60-14))))</f>
        <v/>
      </c>
      <c r="P60" s="183" t="str">
        <f t="shared" si="9"/>
        <v/>
      </c>
      <c r="Q60" s="436"/>
      <c r="R60" s="266" t="str">
        <f>IF(OR(ISBLANK($D60),ISBLANK($K60),ISBLANK(Q60)),"",Ceilings!$V$3*Q60)</f>
        <v/>
      </c>
      <c r="S60" s="72" t="str">
        <f t="shared" si="6"/>
        <v/>
      </c>
    </row>
    <row r="61" spans="1:19" ht="15.75" customHeight="1">
      <c r="A61" s="506"/>
      <c r="B61" s="51" t="str">
        <f>IF(ISBLANK(A61),"",VLOOKUP(A61,Management!$A$11:$C$25,2,0))</f>
        <v/>
      </c>
      <c r="C61" s="433"/>
      <c r="D61" s="421"/>
      <c r="E61" s="433"/>
      <c r="F61" s="434"/>
      <c r="G61" s="95" t="str">
        <f t="shared" si="7"/>
        <v/>
      </c>
      <c r="H61" s="435"/>
      <c r="I61" s="434"/>
      <c r="J61" s="95" t="str">
        <f t="shared" si="8"/>
        <v/>
      </c>
      <c r="K61" s="81"/>
      <c r="L61" s="362"/>
      <c r="M61" s="256" t="str">
        <f t="shared" si="5"/>
        <v/>
      </c>
      <c r="N61" s="184" t="str">
        <f>IF(OR(ISBLANK($D61),ISBLANK($K61),ISBLANK($L61)),"",IF($L61="0–9 km",0,IF(LEFT($D61,15)="Long-term teach",VLOOKUP($K61,Subsistence,2,0)*14+VLOOKUP($K61,Subsistence,3,0)*46+VLOOKUP($K61,Subsistence,4,0)*($F61-60),IF(LEFT($D61,15)="Short-term join",IF($F61&lt;15,Ceilings!$S$3*$F61,Ceilings!$S$3*14+Ceilings!$S$4*($F61-14)),IF(LEFT($D61,15)="Long-term study",VLOOKUP($K61,Subsistence,5,0)*ROUND($F61/30,0),IF($F61&lt;15,Ceilings!$S$6*$F61,Ceilings!$S$6*14+Ceilings!$S$7*($F61-14)))))))</f>
        <v/>
      </c>
      <c r="O61" s="185" t="str">
        <f>IF(OR(ISBLANK(D61),ISBLANK(H61),ISBLANK(K61),ISBLANK(L61)),"",IF(L61="0–9 km",0,IF(I61&lt;15,Ceilings!$S$3*I61,Ceilings!$S$3*14+Ceilings!$S$4*(I61-14))))</f>
        <v/>
      </c>
      <c r="P61" s="183" t="str">
        <f t="shared" si="9"/>
        <v/>
      </c>
      <c r="Q61" s="436"/>
      <c r="R61" s="266" t="str">
        <f>IF(OR(ISBLANK($D61),ISBLANK($K61),ISBLANK(Q61)),"",Ceilings!$V$3*Q61)</f>
        <v/>
      </c>
      <c r="S61" s="72" t="str">
        <f t="shared" si="6"/>
        <v/>
      </c>
    </row>
    <row r="62" spans="1:19" ht="15.75" customHeight="1">
      <c r="A62" s="506"/>
      <c r="B62" s="51" t="str">
        <f>IF(ISBLANK(A62),"",VLOOKUP(A62,Management!$A$11:$C$25,2,0))</f>
        <v/>
      </c>
      <c r="C62" s="433"/>
      <c r="D62" s="421"/>
      <c r="E62" s="433"/>
      <c r="F62" s="434"/>
      <c r="G62" s="95" t="str">
        <f t="shared" si="7"/>
        <v/>
      </c>
      <c r="H62" s="435"/>
      <c r="I62" s="434"/>
      <c r="J62" s="95" t="str">
        <f t="shared" si="8"/>
        <v/>
      </c>
      <c r="K62" s="81"/>
      <c r="L62" s="362"/>
      <c r="M62" s="256" t="str">
        <f t="shared" si="5"/>
        <v/>
      </c>
      <c r="N62" s="184" t="str">
        <f>IF(OR(ISBLANK($D62),ISBLANK($K62),ISBLANK($L62)),"",IF($L62="0–9 km",0,IF(LEFT($D62,15)="Long-term teach",VLOOKUP($K62,Subsistence,2,0)*14+VLOOKUP($K62,Subsistence,3,0)*46+VLOOKUP($K62,Subsistence,4,0)*($F62-60),IF(LEFT($D62,15)="Short-term join",IF($F62&lt;15,Ceilings!$S$3*$F62,Ceilings!$S$3*14+Ceilings!$S$4*($F62-14)),IF(LEFT($D62,15)="Long-term study",VLOOKUP($K62,Subsistence,5,0)*ROUND($F62/30,0),IF($F62&lt;15,Ceilings!$S$6*$F62,Ceilings!$S$6*14+Ceilings!$S$7*($F62-14)))))))</f>
        <v/>
      </c>
      <c r="O62" s="185" t="str">
        <f>IF(OR(ISBLANK(D62),ISBLANK(H62),ISBLANK(K62),ISBLANK(L62)),"",IF(L62="0–9 km",0,IF(I62&lt;15,Ceilings!$S$3*I62,Ceilings!$S$3*14+Ceilings!$S$4*(I62-14))))</f>
        <v/>
      </c>
      <c r="P62" s="183" t="str">
        <f t="shared" si="9"/>
        <v/>
      </c>
      <c r="Q62" s="436"/>
      <c r="R62" s="266" t="str">
        <f>IF(OR(ISBLANK($D62),ISBLANK($K62),ISBLANK(Q62)),"",Ceilings!$V$3*Q62)</f>
        <v/>
      </c>
      <c r="S62" s="72" t="str">
        <f t="shared" si="6"/>
        <v/>
      </c>
    </row>
    <row r="63" spans="1:19" ht="15.75" customHeight="1">
      <c r="A63" s="506"/>
      <c r="B63" s="51" t="str">
        <f>IF(ISBLANK(A63),"",VLOOKUP(A63,Management!$A$11:$C$25,2,0))</f>
        <v/>
      </c>
      <c r="C63" s="433"/>
      <c r="D63" s="421"/>
      <c r="E63" s="433"/>
      <c r="F63" s="434"/>
      <c r="G63" s="95" t="str">
        <f t="shared" si="7"/>
        <v/>
      </c>
      <c r="H63" s="435"/>
      <c r="I63" s="434"/>
      <c r="J63" s="95" t="str">
        <f t="shared" si="8"/>
        <v/>
      </c>
      <c r="K63" s="81"/>
      <c r="L63" s="362"/>
      <c r="M63" s="256" t="str">
        <f t="shared" si="5"/>
        <v/>
      </c>
      <c r="N63" s="184" t="str">
        <f>IF(OR(ISBLANK($D63),ISBLANK($K63),ISBLANK($L63)),"",IF($L63="0–9 km",0,IF(LEFT($D63,15)="Long-term teach",VLOOKUP($K63,Subsistence,2,0)*14+VLOOKUP($K63,Subsistence,3,0)*46+VLOOKUP($K63,Subsistence,4,0)*($F63-60),IF(LEFT($D63,15)="Short-term join",IF($F63&lt;15,Ceilings!$S$3*$F63,Ceilings!$S$3*14+Ceilings!$S$4*($F63-14)),IF(LEFT($D63,15)="Long-term study",VLOOKUP($K63,Subsistence,5,0)*ROUND($F63/30,0),IF($F63&lt;15,Ceilings!$S$6*$F63,Ceilings!$S$6*14+Ceilings!$S$7*($F63-14)))))))</f>
        <v/>
      </c>
      <c r="O63" s="185" t="str">
        <f>IF(OR(ISBLANK(D63),ISBLANK(H63),ISBLANK(K63),ISBLANK(L63)),"",IF(L63="0–9 km",0,IF(I63&lt;15,Ceilings!$S$3*I63,Ceilings!$S$3*14+Ceilings!$S$4*(I63-14))))</f>
        <v/>
      </c>
      <c r="P63" s="183" t="str">
        <f t="shared" si="9"/>
        <v/>
      </c>
      <c r="Q63" s="436"/>
      <c r="R63" s="266" t="str">
        <f>IF(OR(ISBLANK($D63),ISBLANK($K63),ISBLANK(Q63)),"",Ceilings!$V$3*Q63)</f>
        <v/>
      </c>
      <c r="S63" s="72" t="str">
        <f t="shared" si="6"/>
        <v/>
      </c>
    </row>
    <row r="64" spans="1:19" ht="15.75" customHeight="1">
      <c r="A64" s="506"/>
      <c r="B64" s="51" t="str">
        <f>IF(ISBLANK(A64),"",VLOOKUP(A64,Management!$A$11:$C$25,2,0))</f>
        <v/>
      </c>
      <c r="C64" s="433"/>
      <c r="D64" s="421"/>
      <c r="E64" s="433"/>
      <c r="F64" s="434"/>
      <c r="G64" s="95" t="str">
        <f t="shared" si="7"/>
        <v/>
      </c>
      <c r="H64" s="435"/>
      <c r="I64" s="434"/>
      <c r="J64" s="95" t="str">
        <f t="shared" si="8"/>
        <v/>
      </c>
      <c r="K64" s="81"/>
      <c r="L64" s="362"/>
      <c r="M64" s="256" t="str">
        <f t="shared" si="5"/>
        <v/>
      </c>
      <c r="N64" s="184" t="str">
        <f>IF(OR(ISBLANK($D64),ISBLANK($K64),ISBLANK($L64)),"",IF($L64="0–9 km",0,IF(LEFT($D64,15)="Long-term teach",VLOOKUP($K64,Subsistence,2,0)*14+VLOOKUP($K64,Subsistence,3,0)*46+VLOOKUP($K64,Subsistence,4,0)*($F64-60),IF(LEFT($D64,15)="Short-term join",IF($F64&lt;15,Ceilings!$S$3*$F64,Ceilings!$S$3*14+Ceilings!$S$4*($F64-14)),IF(LEFT($D64,15)="Long-term study",VLOOKUP($K64,Subsistence,5,0)*ROUND($F64/30,0),IF($F64&lt;15,Ceilings!$S$6*$F64,Ceilings!$S$6*14+Ceilings!$S$7*($F64-14)))))))</f>
        <v/>
      </c>
      <c r="O64" s="185" t="str">
        <f>IF(OR(ISBLANK(D64),ISBLANK(H64),ISBLANK(K64),ISBLANK(L64)),"",IF(L64="0–9 km",0,IF(I64&lt;15,Ceilings!$S$3*I64,Ceilings!$S$3*14+Ceilings!$S$4*(I64-14))))</f>
        <v/>
      </c>
      <c r="P64" s="183" t="str">
        <f t="shared" si="9"/>
        <v/>
      </c>
      <c r="Q64" s="436"/>
      <c r="R64" s="266" t="str">
        <f>IF(OR(ISBLANK($D64),ISBLANK($K64),ISBLANK(Q64)),"",Ceilings!$V$3*Q64)</f>
        <v/>
      </c>
      <c r="S64" s="72" t="str">
        <f t="shared" si="6"/>
        <v/>
      </c>
    </row>
    <row r="65" spans="1:19" ht="15.75" customHeight="1">
      <c r="A65" s="506"/>
      <c r="B65" s="51" t="str">
        <f>IF(ISBLANK(A65),"",VLOOKUP(A65,Management!$A$11:$C$25,2,0))</f>
        <v/>
      </c>
      <c r="C65" s="433"/>
      <c r="D65" s="421"/>
      <c r="E65" s="433"/>
      <c r="F65" s="434"/>
      <c r="G65" s="95" t="str">
        <f t="shared" si="7"/>
        <v/>
      </c>
      <c r="H65" s="435"/>
      <c r="I65" s="434"/>
      <c r="J65" s="95" t="str">
        <f t="shared" si="8"/>
        <v/>
      </c>
      <c r="K65" s="81"/>
      <c r="L65" s="362"/>
      <c r="M65" s="256" t="str">
        <f t="shared" si="5"/>
        <v/>
      </c>
      <c r="N65" s="184" t="str">
        <f>IF(OR(ISBLANK($D65),ISBLANK($K65),ISBLANK($L65)),"",IF($L65="0–9 km",0,IF(LEFT($D65,15)="Long-term teach",VLOOKUP($K65,Subsistence,2,0)*14+VLOOKUP($K65,Subsistence,3,0)*46+VLOOKUP($K65,Subsistence,4,0)*($F65-60),IF(LEFT($D65,15)="Short-term join",IF($F65&lt;15,Ceilings!$S$3*$F65,Ceilings!$S$3*14+Ceilings!$S$4*($F65-14)),IF(LEFT($D65,15)="Long-term study",VLOOKUP($K65,Subsistence,5,0)*ROUND($F65/30,0),IF($F65&lt;15,Ceilings!$S$6*$F65,Ceilings!$S$6*14+Ceilings!$S$7*($F65-14)))))))</f>
        <v/>
      </c>
      <c r="O65" s="185" t="str">
        <f>IF(OR(ISBLANK(D65),ISBLANK(H65),ISBLANK(K65),ISBLANK(L65)),"",IF(L65="0–9 km",0,IF(I65&lt;15,Ceilings!$S$3*I65,Ceilings!$S$3*14+Ceilings!$S$4*(I65-14))))</f>
        <v/>
      </c>
      <c r="P65" s="183" t="str">
        <f t="shared" si="9"/>
        <v/>
      </c>
      <c r="Q65" s="436"/>
      <c r="R65" s="266" t="str">
        <f>IF(OR(ISBLANK($D65),ISBLANK($K65),ISBLANK(Q65)),"",Ceilings!$V$3*Q65)</f>
        <v/>
      </c>
      <c r="S65" s="72" t="str">
        <f t="shared" si="6"/>
        <v/>
      </c>
    </row>
    <row r="66" spans="1:19" ht="15.75" customHeight="1">
      <c r="A66" s="506"/>
      <c r="B66" s="51" t="str">
        <f>IF(ISBLANK(A66),"",VLOOKUP(A66,Management!$A$11:$C$25,2,0))</f>
        <v/>
      </c>
      <c r="C66" s="433"/>
      <c r="D66" s="421"/>
      <c r="E66" s="433"/>
      <c r="F66" s="434"/>
      <c r="G66" s="95" t="str">
        <f t="shared" si="7"/>
        <v/>
      </c>
      <c r="H66" s="435"/>
      <c r="I66" s="434"/>
      <c r="J66" s="95" t="str">
        <f t="shared" si="8"/>
        <v/>
      </c>
      <c r="K66" s="81"/>
      <c r="L66" s="362"/>
      <c r="M66" s="256" t="str">
        <f t="shared" si="5"/>
        <v/>
      </c>
      <c r="N66" s="184" t="str">
        <f>IF(OR(ISBLANK($D66),ISBLANK($K66),ISBLANK($L66)),"",IF($L66="0–9 km",0,IF(LEFT($D66,15)="Long-term teach",VLOOKUP($K66,Subsistence,2,0)*14+VLOOKUP($K66,Subsistence,3,0)*46+VLOOKUP($K66,Subsistence,4,0)*($F66-60),IF(LEFT($D66,15)="Short-term join",IF($F66&lt;15,Ceilings!$S$3*$F66,Ceilings!$S$3*14+Ceilings!$S$4*($F66-14)),IF(LEFT($D66,15)="Long-term study",VLOOKUP($K66,Subsistence,5,0)*ROUND($F66/30,0),IF($F66&lt;15,Ceilings!$S$6*$F66,Ceilings!$S$6*14+Ceilings!$S$7*($F66-14)))))))</f>
        <v/>
      </c>
      <c r="O66" s="185" t="str">
        <f>IF(OR(ISBLANK(D66),ISBLANK(H66),ISBLANK(K66),ISBLANK(L66)),"",IF(L66="0–9 km",0,IF(I66&lt;15,Ceilings!$S$3*I66,Ceilings!$S$3*14+Ceilings!$S$4*(I66-14))))</f>
        <v/>
      </c>
      <c r="P66" s="183" t="str">
        <f t="shared" si="9"/>
        <v/>
      </c>
      <c r="Q66" s="436"/>
      <c r="R66" s="266" t="str">
        <f>IF(OR(ISBLANK($D66),ISBLANK($K66),ISBLANK(Q66)),"",Ceilings!$V$3*Q66)</f>
        <v/>
      </c>
      <c r="S66" s="72" t="str">
        <f t="shared" si="6"/>
        <v/>
      </c>
    </row>
    <row r="67" spans="1:19" ht="15.75" customHeight="1">
      <c r="A67" s="506"/>
      <c r="B67" s="51" t="str">
        <f>IF(ISBLANK(A67),"",VLOOKUP(A67,Management!$A$11:$C$25,2,0))</f>
        <v/>
      </c>
      <c r="C67" s="433"/>
      <c r="D67" s="421"/>
      <c r="E67" s="433"/>
      <c r="F67" s="434"/>
      <c r="G67" s="95" t="str">
        <f t="shared" si="7"/>
        <v/>
      </c>
      <c r="H67" s="435"/>
      <c r="I67" s="434"/>
      <c r="J67" s="95" t="str">
        <f t="shared" si="8"/>
        <v/>
      </c>
      <c r="K67" s="81"/>
      <c r="L67" s="362"/>
      <c r="M67" s="256" t="str">
        <f t="shared" si="5"/>
        <v/>
      </c>
      <c r="N67" s="184" t="str">
        <f>IF(OR(ISBLANK($D67),ISBLANK($K67),ISBLANK($L67)),"",IF($L67="0–9 km",0,IF(LEFT($D67,15)="Long-term teach",VLOOKUP($K67,Subsistence,2,0)*14+VLOOKUP($K67,Subsistence,3,0)*46+VLOOKUP($K67,Subsistence,4,0)*($F67-60),IF(LEFT($D67,15)="Short-term join",IF($F67&lt;15,Ceilings!$S$3*$F67,Ceilings!$S$3*14+Ceilings!$S$4*($F67-14)),IF(LEFT($D67,15)="Long-term study",VLOOKUP($K67,Subsistence,5,0)*ROUND($F67/30,0),IF($F67&lt;15,Ceilings!$S$6*$F67,Ceilings!$S$6*14+Ceilings!$S$7*($F67-14)))))))</f>
        <v/>
      </c>
      <c r="O67" s="185" t="str">
        <f>IF(OR(ISBLANK(D67),ISBLANK(H67),ISBLANK(K67),ISBLANK(L67)),"",IF(L67="0–9 km",0,IF(I67&lt;15,Ceilings!$S$3*I67,Ceilings!$S$3*14+Ceilings!$S$4*(I67-14))))</f>
        <v/>
      </c>
      <c r="P67" s="183" t="str">
        <f t="shared" si="9"/>
        <v/>
      </c>
      <c r="Q67" s="436"/>
      <c r="R67" s="266" t="str">
        <f>IF(OR(ISBLANK($D67),ISBLANK($K67),ISBLANK(Q67)),"",Ceilings!$V$3*Q67)</f>
        <v/>
      </c>
      <c r="S67" s="72" t="str">
        <f t="shared" si="6"/>
        <v/>
      </c>
    </row>
    <row r="68" spans="1:19" ht="15.75" customHeight="1">
      <c r="A68" s="506"/>
      <c r="B68" s="51" t="str">
        <f>IF(ISBLANK(A68),"",VLOOKUP(A68,Management!$A$11:$C$25,2,0))</f>
        <v/>
      </c>
      <c r="C68" s="433"/>
      <c r="D68" s="421"/>
      <c r="E68" s="433"/>
      <c r="F68" s="434"/>
      <c r="G68" s="95" t="str">
        <f t="shared" si="7"/>
        <v/>
      </c>
      <c r="H68" s="435"/>
      <c r="I68" s="434"/>
      <c r="J68" s="95" t="str">
        <f t="shared" si="8"/>
        <v/>
      </c>
      <c r="K68" s="81"/>
      <c r="L68" s="362"/>
      <c r="M68" s="256" t="str">
        <f t="shared" si="5"/>
        <v/>
      </c>
      <c r="N68" s="184" t="str">
        <f>IF(OR(ISBLANK($D68),ISBLANK($K68),ISBLANK($L68)),"",IF($L68="0–9 km",0,IF(LEFT($D68,15)="Long-term teach",VLOOKUP($K68,Subsistence,2,0)*14+VLOOKUP($K68,Subsistence,3,0)*46+VLOOKUP($K68,Subsistence,4,0)*($F68-60),IF(LEFT($D68,15)="Short-term join",IF($F68&lt;15,Ceilings!$S$3*$F68,Ceilings!$S$3*14+Ceilings!$S$4*($F68-14)),IF(LEFT($D68,15)="Long-term study",VLOOKUP($K68,Subsistence,5,0)*ROUND($F68/30,0),IF($F68&lt;15,Ceilings!$S$6*$F68,Ceilings!$S$6*14+Ceilings!$S$7*($F68-14)))))))</f>
        <v/>
      </c>
      <c r="O68" s="185" t="str">
        <f>IF(OR(ISBLANK(D68),ISBLANK(H68),ISBLANK(K68),ISBLANK(L68)),"",IF(L68="0–9 km",0,IF(I68&lt;15,Ceilings!$S$3*I68,Ceilings!$S$3*14+Ceilings!$S$4*(I68-14))))</f>
        <v/>
      </c>
      <c r="P68" s="183" t="str">
        <f t="shared" si="9"/>
        <v/>
      </c>
      <c r="Q68" s="436"/>
      <c r="R68" s="266" t="str">
        <f>IF(OR(ISBLANK($D68),ISBLANK($K68),ISBLANK(Q68)),"",Ceilings!$V$3*Q68)</f>
        <v/>
      </c>
      <c r="S68" s="72" t="str">
        <f t="shared" si="6"/>
        <v/>
      </c>
    </row>
    <row r="69" spans="1:19" ht="15.75" customHeight="1">
      <c r="A69" s="506"/>
      <c r="B69" s="51" t="str">
        <f>IF(ISBLANK(A69),"",VLOOKUP(A69,Management!$A$11:$C$25,2,0))</f>
        <v/>
      </c>
      <c r="C69" s="433"/>
      <c r="D69" s="421"/>
      <c r="E69" s="433"/>
      <c r="F69" s="434"/>
      <c r="G69" s="95" t="str">
        <f t="shared" si="7"/>
        <v/>
      </c>
      <c r="H69" s="435"/>
      <c r="I69" s="434"/>
      <c r="J69" s="95" t="str">
        <f t="shared" si="8"/>
        <v/>
      </c>
      <c r="K69" s="81"/>
      <c r="L69" s="362"/>
      <c r="M69" s="256" t="str">
        <f t="shared" si="5"/>
        <v/>
      </c>
      <c r="N69" s="184" t="str">
        <f>IF(OR(ISBLANK($D69),ISBLANK($K69),ISBLANK($L69)),"",IF($L69="0–9 km",0,IF(LEFT($D69,15)="Long-term teach",VLOOKUP($K69,Subsistence,2,0)*14+VLOOKUP($K69,Subsistence,3,0)*46+VLOOKUP($K69,Subsistence,4,0)*($F69-60),IF(LEFT($D69,15)="Short-term join",IF($F69&lt;15,Ceilings!$S$3*$F69,Ceilings!$S$3*14+Ceilings!$S$4*($F69-14)),IF(LEFT($D69,15)="Long-term study",VLOOKUP($K69,Subsistence,5,0)*ROUND($F69/30,0),IF($F69&lt;15,Ceilings!$S$6*$F69,Ceilings!$S$6*14+Ceilings!$S$7*($F69-14)))))))</f>
        <v/>
      </c>
      <c r="O69" s="185" t="str">
        <f>IF(OR(ISBLANK(D69),ISBLANK(H69),ISBLANK(K69),ISBLANK(L69)),"",IF(L69="0–9 km",0,IF(I69&lt;15,Ceilings!$S$3*I69,Ceilings!$S$3*14+Ceilings!$S$4*(I69-14))))</f>
        <v/>
      </c>
      <c r="P69" s="183" t="str">
        <f t="shared" si="9"/>
        <v/>
      </c>
      <c r="Q69" s="436"/>
      <c r="R69" s="266" t="str">
        <f>IF(OR(ISBLANK($D69),ISBLANK($K69),ISBLANK(Q69)),"",Ceilings!$V$3*Q69)</f>
        <v/>
      </c>
      <c r="S69" s="72" t="str">
        <f t="shared" si="6"/>
        <v/>
      </c>
    </row>
    <row r="70" spans="1:19" ht="15.75" customHeight="1">
      <c r="A70" s="506"/>
      <c r="B70" s="51" t="str">
        <f>IF(ISBLANK(A70),"",VLOOKUP(A70,Management!$A$11:$C$25,2,0))</f>
        <v/>
      </c>
      <c r="C70" s="433"/>
      <c r="D70" s="421"/>
      <c r="E70" s="433"/>
      <c r="F70" s="434"/>
      <c r="G70" s="95" t="str">
        <f t="shared" si="7"/>
        <v/>
      </c>
      <c r="H70" s="435"/>
      <c r="I70" s="434"/>
      <c r="J70" s="95" t="str">
        <f t="shared" si="8"/>
        <v/>
      </c>
      <c r="K70" s="81"/>
      <c r="L70" s="362"/>
      <c r="M70" s="256" t="str">
        <f t="shared" si="5"/>
        <v/>
      </c>
      <c r="N70" s="184" t="str">
        <f>IF(OR(ISBLANK($D70),ISBLANK($K70),ISBLANK($L70)),"",IF($L70="0–9 km",0,IF(LEFT($D70,15)="Long-term teach",VLOOKUP($K70,Subsistence,2,0)*14+VLOOKUP($K70,Subsistence,3,0)*46+VLOOKUP($K70,Subsistence,4,0)*($F70-60),IF(LEFT($D70,15)="Short-term join",IF($F70&lt;15,Ceilings!$S$3*$F70,Ceilings!$S$3*14+Ceilings!$S$4*($F70-14)),IF(LEFT($D70,15)="Long-term study",VLOOKUP($K70,Subsistence,5,0)*ROUND($F70/30,0),IF($F70&lt;15,Ceilings!$S$6*$F70,Ceilings!$S$6*14+Ceilings!$S$7*($F70-14)))))))</f>
        <v/>
      </c>
      <c r="O70" s="185" t="str">
        <f>IF(OR(ISBLANK(D70),ISBLANK(H70),ISBLANK(K70),ISBLANK(L70)),"",IF(L70="0–9 km",0,IF(I70&lt;15,Ceilings!$S$3*I70,Ceilings!$S$3*14+Ceilings!$S$4*(I70-14))))</f>
        <v/>
      </c>
      <c r="P70" s="183" t="str">
        <f t="shared" si="9"/>
        <v/>
      </c>
      <c r="Q70" s="436"/>
      <c r="R70" s="266" t="str">
        <f>IF(OR(ISBLANK($D70),ISBLANK($K70),ISBLANK(Q70)),"",Ceilings!$V$3*Q70)</f>
        <v/>
      </c>
      <c r="S70" s="72" t="str">
        <f t="shared" si="6"/>
        <v/>
      </c>
    </row>
    <row r="71" spans="1:19" ht="15.75" customHeight="1">
      <c r="A71" s="506"/>
      <c r="B71" s="51" t="str">
        <f>IF(ISBLANK(A71),"",VLOOKUP(A71,Management!$A$11:$C$25,2,0))</f>
        <v/>
      </c>
      <c r="C71" s="433"/>
      <c r="D71" s="421"/>
      <c r="E71" s="433"/>
      <c r="F71" s="434"/>
      <c r="G71" s="95" t="str">
        <f t="shared" si="7"/>
        <v/>
      </c>
      <c r="H71" s="435"/>
      <c r="I71" s="434"/>
      <c r="J71" s="95" t="str">
        <f t="shared" si="8"/>
        <v/>
      </c>
      <c r="K71" s="81"/>
      <c r="L71" s="362"/>
      <c r="M71" s="256" t="str">
        <f t="shared" ref="M71:M102" si="10">IF(ISBLANK(L71),"",(E71+H71)*VLOOKUP(L71,TravelGrant,2,0))</f>
        <v/>
      </c>
      <c r="N71" s="184" t="str">
        <f>IF(OR(ISBLANK($D71),ISBLANK($K71),ISBLANK($L71)),"",IF($L71="0–9 km",0,IF(LEFT($D71,15)="Long-term teach",VLOOKUP($K71,Subsistence,2,0)*14+VLOOKUP($K71,Subsistence,3,0)*46+VLOOKUP($K71,Subsistence,4,0)*($F71-60),IF(LEFT($D71,15)="Short-term join",IF($F71&lt;15,Ceilings!$S$3*$F71,Ceilings!$S$3*14+Ceilings!$S$4*($F71-14)),IF(LEFT($D71,15)="Long-term study",VLOOKUP($K71,Subsistence,5,0)*ROUND($F71/30,0),IF($F71&lt;15,Ceilings!$S$6*$F71,Ceilings!$S$6*14+Ceilings!$S$7*($F71-14)))))))</f>
        <v/>
      </c>
      <c r="O71" s="185" t="str">
        <f>IF(OR(ISBLANK(D71),ISBLANK(H71),ISBLANK(K71),ISBLANK(L71)),"",IF(L71="0–9 km",0,IF(I71&lt;15,Ceilings!$S$3*I71,Ceilings!$S$3*14+Ceilings!$S$4*(I71-14))))</f>
        <v/>
      </c>
      <c r="P71" s="183" t="str">
        <f t="shared" si="9"/>
        <v/>
      </c>
      <c r="Q71" s="436"/>
      <c r="R71" s="266" t="str">
        <f>IF(OR(ISBLANK($D71),ISBLANK($K71),ISBLANK(Q71)),"",Ceilings!$V$3*Q71)</f>
        <v/>
      </c>
      <c r="S71" s="72" t="str">
        <f t="shared" ref="S71:S106" si="11">IF(ISBLANK($A71),"",IF(OR(ISBLANK($C71),ISBLANK($D71),ISBLANK($E71),ISBLANK($K71)),"Missing data",SUM($M71,$P71,$R71)))</f>
        <v/>
      </c>
    </row>
    <row r="72" spans="1:19" ht="15.75" customHeight="1">
      <c r="A72" s="506"/>
      <c r="B72" s="51" t="str">
        <f>IF(ISBLANK(A72),"",VLOOKUP(A72,Management!$A$11:$C$25,2,0))</f>
        <v/>
      </c>
      <c r="C72" s="433"/>
      <c r="D72" s="421"/>
      <c r="E72" s="433"/>
      <c r="F72" s="434"/>
      <c r="G72" s="95" t="str">
        <f t="shared" si="7"/>
        <v/>
      </c>
      <c r="H72" s="435"/>
      <c r="I72" s="434"/>
      <c r="J72" s="95" t="str">
        <f t="shared" si="8"/>
        <v/>
      </c>
      <c r="K72" s="81"/>
      <c r="L72" s="362"/>
      <c r="M72" s="256" t="str">
        <f t="shared" si="10"/>
        <v/>
      </c>
      <c r="N72" s="184" t="str">
        <f>IF(OR(ISBLANK($D72),ISBLANK($K72),ISBLANK($L72)),"",IF($L72="0–9 km",0,IF(LEFT($D72,15)="Long-term teach",VLOOKUP($K72,Subsistence,2,0)*14+VLOOKUP($K72,Subsistence,3,0)*46+VLOOKUP($K72,Subsistence,4,0)*($F72-60),IF(LEFT($D72,15)="Short-term join",IF($F72&lt;15,Ceilings!$S$3*$F72,Ceilings!$S$3*14+Ceilings!$S$4*($F72-14)),IF(LEFT($D72,15)="Long-term study",VLOOKUP($K72,Subsistence,5,0)*ROUND($F72/30,0),IF($F72&lt;15,Ceilings!$S$6*$F72,Ceilings!$S$6*14+Ceilings!$S$7*($F72-14)))))))</f>
        <v/>
      </c>
      <c r="O72" s="185" t="str">
        <f>IF(OR(ISBLANK(D72),ISBLANK(H72),ISBLANK(K72),ISBLANK(L72)),"",IF(L72="0–9 km",0,IF(I72&lt;15,Ceilings!$S$3*I72,Ceilings!$S$3*14+Ceilings!$S$4*(I72-14))))</f>
        <v/>
      </c>
      <c r="P72" s="183" t="str">
        <f t="shared" si="9"/>
        <v/>
      </c>
      <c r="Q72" s="436"/>
      <c r="R72" s="266" t="str">
        <f>IF(OR(ISBLANK($D72),ISBLANK($K72),ISBLANK(Q72)),"",Ceilings!$V$3*Q72)</f>
        <v/>
      </c>
      <c r="S72" s="72" t="str">
        <f t="shared" si="11"/>
        <v/>
      </c>
    </row>
    <row r="73" spans="1:19" ht="15.75" customHeight="1">
      <c r="A73" s="506"/>
      <c r="B73" s="51" t="str">
        <f>IF(ISBLANK(A73),"",VLOOKUP(A73,Management!$A$11:$C$25,2,0))</f>
        <v/>
      </c>
      <c r="C73" s="433"/>
      <c r="D73" s="421"/>
      <c r="E73" s="433"/>
      <c r="F73" s="434"/>
      <c r="G73" s="95" t="str">
        <f t="shared" si="7"/>
        <v/>
      </c>
      <c r="H73" s="435"/>
      <c r="I73" s="434"/>
      <c r="J73" s="95" t="str">
        <f t="shared" si="8"/>
        <v/>
      </c>
      <c r="K73" s="81"/>
      <c r="L73" s="362"/>
      <c r="M73" s="256" t="str">
        <f t="shared" si="10"/>
        <v/>
      </c>
      <c r="N73" s="184" t="str">
        <f>IF(OR(ISBLANK($D73),ISBLANK($K73),ISBLANK($L73)),"",IF($L73="0–9 km",0,IF(LEFT($D73,15)="Long-term teach",VLOOKUP($K73,Subsistence,2,0)*14+VLOOKUP($K73,Subsistence,3,0)*46+VLOOKUP($K73,Subsistence,4,0)*($F73-60),IF(LEFT($D73,15)="Short-term join",IF($F73&lt;15,Ceilings!$S$3*$F73,Ceilings!$S$3*14+Ceilings!$S$4*($F73-14)),IF(LEFT($D73,15)="Long-term study",VLOOKUP($K73,Subsistence,5,0)*ROUND($F73/30,0),IF($F73&lt;15,Ceilings!$S$6*$F73,Ceilings!$S$6*14+Ceilings!$S$7*($F73-14)))))))</f>
        <v/>
      </c>
      <c r="O73" s="185" t="str">
        <f>IF(OR(ISBLANK(D73),ISBLANK(H73),ISBLANK(K73),ISBLANK(L73)),"",IF(L73="0–9 km",0,IF(I73&lt;15,Ceilings!$S$3*I73,Ceilings!$S$3*14+Ceilings!$S$4*(I73-14))))</f>
        <v/>
      </c>
      <c r="P73" s="183" t="str">
        <f t="shared" si="9"/>
        <v/>
      </c>
      <c r="Q73" s="436"/>
      <c r="R73" s="266" t="str">
        <f>IF(OR(ISBLANK($D73),ISBLANK($K73),ISBLANK(Q73)),"",Ceilings!$V$3*Q73)</f>
        <v/>
      </c>
      <c r="S73" s="72" t="str">
        <f t="shared" si="11"/>
        <v/>
      </c>
    </row>
    <row r="74" spans="1:19" ht="15.75" customHeight="1">
      <c r="A74" s="506"/>
      <c r="B74" s="51" t="str">
        <f>IF(ISBLANK(A74),"",VLOOKUP(A74,Management!$A$11:$C$25,2,0))</f>
        <v/>
      </c>
      <c r="C74" s="433"/>
      <c r="D74" s="421"/>
      <c r="E74" s="433"/>
      <c r="F74" s="434"/>
      <c r="G74" s="95" t="str">
        <f t="shared" si="7"/>
        <v/>
      </c>
      <c r="H74" s="435"/>
      <c r="I74" s="434"/>
      <c r="J74" s="95" t="str">
        <f t="shared" si="8"/>
        <v/>
      </c>
      <c r="K74" s="81"/>
      <c r="L74" s="362"/>
      <c r="M74" s="256" t="str">
        <f t="shared" si="10"/>
        <v/>
      </c>
      <c r="N74" s="184" t="str">
        <f>IF(OR(ISBLANK($D74),ISBLANK($K74),ISBLANK($L74)),"",IF($L74="0–9 km",0,IF(LEFT($D74,15)="Long-term teach",VLOOKUP($K74,Subsistence,2,0)*14+VLOOKUP($K74,Subsistence,3,0)*46+VLOOKUP($K74,Subsistence,4,0)*($F74-60),IF(LEFT($D74,15)="Short-term join",IF($F74&lt;15,Ceilings!$S$3*$F74,Ceilings!$S$3*14+Ceilings!$S$4*($F74-14)),IF(LEFT($D74,15)="Long-term study",VLOOKUP($K74,Subsistence,5,0)*ROUND($F74/30,0),IF($F74&lt;15,Ceilings!$S$6*$F74,Ceilings!$S$6*14+Ceilings!$S$7*($F74-14)))))))</f>
        <v/>
      </c>
      <c r="O74" s="185" t="str">
        <f>IF(OR(ISBLANK(D74),ISBLANK(H74),ISBLANK(K74),ISBLANK(L74)),"",IF(L74="0–9 km",0,IF(I74&lt;15,Ceilings!$S$3*I74,Ceilings!$S$3*14+Ceilings!$S$4*(I74-14))))</f>
        <v/>
      </c>
      <c r="P74" s="183" t="str">
        <f t="shared" si="9"/>
        <v/>
      </c>
      <c r="Q74" s="436"/>
      <c r="R74" s="266" t="str">
        <f>IF(OR(ISBLANK($D74),ISBLANK($K74),ISBLANK(Q74)),"",Ceilings!$V$3*Q74)</f>
        <v/>
      </c>
      <c r="S74" s="72" t="str">
        <f t="shared" si="11"/>
        <v/>
      </c>
    </row>
    <row r="75" spans="1:19" ht="15.75" customHeight="1">
      <c r="A75" s="506"/>
      <c r="B75" s="51" t="str">
        <f>IF(ISBLANK(A75),"",VLOOKUP(A75,Management!$A$11:$C$25,2,0))</f>
        <v/>
      </c>
      <c r="C75" s="433"/>
      <c r="D75" s="421"/>
      <c r="E75" s="433"/>
      <c r="F75" s="434"/>
      <c r="G75" s="95" t="str">
        <f t="shared" si="7"/>
        <v/>
      </c>
      <c r="H75" s="435"/>
      <c r="I75" s="434"/>
      <c r="J75" s="95" t="str">
        <f t="shared" si="8"/>
        <v/>
      </c>
      <c r="K75" s="81"/>
      <c r="L75" s="362"/>
      <c r="M75" s="256" t="str">
        <f t="shared" si="10"/>
        <v/>
      </c>
      <c r="N75" s="184" t="str">
        <f>IF(OR(ISBLANK($D75),ISBLANK($K75),ISBLANK($L75)),"",IF($L75="0–9 km",0,IF(LEFT($D75,15)="Long-term teach",VLOOKUP($K75,Subsistence,2,0)*14+VLOOKUP($K75,Subsistence,3,0)*46+VLOOKUP($K75,Subsistence,4,0)*($F75-60),IF(LEFT($D75,15)="Short-term join",IF($F75&lt;15,Ceilings!$S$3*$F75,Ceilings!$S$3*14+Ceilings!$S$4*($F75-14)),IF(LEFT($D75,15)="Long-term study",VLOOKUP($K75,Subsistence,5,0)*ROUND($F75/30,0),IF($F75&lt;15,Ceilings!$S$6*$F75,Ceilings!$S$6*14+Ceilings!$S$7*($F75-14)))))))</f>
        <v/>
      </c>
      <c r="O75" s="185" t="str">
        <f>IF(OR(ISBLANK(D75),ISBLANK(H75),ISBLANK(K75),ISBLANK(L75)),"",IF(L75="0–9 km",0,IF(I75&lt;15,Ceilings!$S$3*I75,Ceilings!$S$3*14+Ceilings!$S$4*(I75-14))))</f>
        <v/>
      </c>
      <c r="P75" s="183" t="str">
        <f t="shared" si="9"/>
        <v/>
      </c>
      <c r="Q75" s="436"/>
      <c r="R75" s="266" t="str">
        <f>IF(OR(ISBLANK($D75),ISBLANK($K75),ISBLANK(Q75)),"",Ceilings!$V$3*Q75)</f>
        <v/>
      </c>
      <c r="S75" s="72" t="str">
        <f t="shared" si="11"/>
        <v/>
      </c>
    </row>
    <row r="76" spans="1:19" ht="15.75" customHeight="1">
      <c r="A76" s="506"/>
      <c r="B76" s="51" t="str">
        <f>IF(ISBLANK(A76),"",VLOOKUP(A76,Management!$A$11:$C$25,2,0))</f>
        <v/>
      </c>
      <c r="C76" s="433"/>
      <c r="D76" s="421"/>
      <c r="E76" s="433"/>
      <c r="F76" s="434"/>
      <c r="G76" s="95" t="str">
        <f t="shared" si="7"/>
        <v/>
      </c>
      <c r="H76" s="435"/>
      <c r="I76" s="434"/>
      <c r="J76" s="95" t="str">
        <f t="shared" si="8"/>
        <v/>
      </c>
      <c r="K76" s="81"/>
      <c r="L76" s="362"/>
      <c r="M76" s="256" t="str">
        <f t="shared" si="10"/>
        <v/>
      </c>
      <c r="N76" s="184" t="str">
        <f>IF(OR(ISBLANK($D76),ISBLANK($K76),ISBLANK($L76)),"",IF($L76="0–9 km",0,IF(LEFT($D76,15)="Long-term teach",VLOOKUP($K76,Subsistence,2,0)*14+VLOOKUP($K76,Subsistence,3,0)*46+VLOOKUP($K76,Subsistence,4,0)*($F76-60),IF(LEFT($D76,15)="Short-term join",IF($F76&lt;15,Ceilings!$S$3*$F76,Ceilings!$S$3*14+Ceilings!$S$4*($F76-14)),IF(LEFT($D76,15)="Long-term study",VLOOKUP($K76,Subsistence,5,0)*ROUND($F76/30,0),IF($F76&lt;15,Ceilings!$S$6*$F76,Ceilings!$S$6*14+Ceilings!$S$7*($F76-14)))))))</f>
        <v/>
      </c>
      <c r="O76" s="185" t="str">
        <f>IF(OR(ISBLANK(D76),ISBLANK(H76),ISBLANK(K76),ISBLANK(L76)),"",IF(L76="0–9 km",0,IF(I76&lt;15,Ceilings!$S$3*I76,Ceilings!$S$3*14+Ceilings!$S$4*(I76-14))))</f>
        <v/>
      </c>
      <c r="P76" s="183" t="str">
        <f t="shared" si="9"/>
        <v/>
      </c>
      <c r="Q76" s="436"/>
      <c r="R76" s="266" t="str">
        <f>IF(OR(ISBLANK($D76),ISBLANK($K76),ISBLANK(Q76)),"",Ceilings!$V$3*Q76)</f>
        <v/>
      </c>
      <c r="S76" s="72" t="str">
        <f t="shared" si="11"/>
        <v/>
      </c>
    </row>
    <row r="77" spans="1:19" ht="15.75" customHeight="1">
      <c r="A77" s="506"/>
      <c r="B77" s="51" t="str">
        <f>IF(ISBLANK(A77),"",VLOOKUP(A77,Management!$A$11:$C$25,2,0))</f>
        <v/>
      </c>
      <c r="C77" s="433"/>
      <c r="D77" s="421"/>
      <c r="E77" s="433"/>
      <c r="F77" s="434"/>
      <c r="G77" s="95" t="str">
        <f t="shared" ref="G77:G106" si="12">IF(ISBLANK($D77),"","days")</f>
        <v/>
      </c>
      <c r="H77" s="435"/>
      <c r="I77" s="434"/>
      <c r="J77" s="95" t="str">
        <f t="shared" ref="J77:J106" si="13">IF(ISBLANK($D77),"","days")</f>
        <v/>
      </c>
      <c r="K77" s="81"/>
      <c r="L77" s="362"/>
      <c r="M77" s="256" t="str">
        <f t="shared" si="10"/>
        <v/>
      </c>
      <c r="N77" s="184" t="str">
        <f>IF(OR(ISBLANK($D77),ISBLANK($K77),ISBLANK($L77)),"",IF($L77="0–9 km",0,IF(LEFT($D77,15)="Long-term teach",VLOOKUP($K77,Subsistence,2,0)*14+VLOOKUP($K77,Subsistence,3,0)*46+VLOOKUP($K77,Subsistence,4,0)*($F77-60),IF(LEFT($D77,15)="Short-term join",IF($F77&lt;15,Ceilings!$S$3*$F77,Ceilings!$S$3*14+Ceilings!$S$4*($F77-14)),IF(LEFT($D77,15)="Long-term study",VLOOKUP($K77,Subsistence,5,0)*ROUND($F77/30,0),IF($F77&lt;15,Ceilings!$S$6*$F77,Ceilings!$S$6*14+Ceilings!$S$7*($F77-14)))))))</f>
        <v/>
      </c>
      <c r="O77" s="185" t="str">
        <f>IF(OR(ISBLANK(D77),ISBLANK(H77),ISBLANK(K77),ISBLANK(L77)),"",IF(L77="0–9 km",0,IF(I77&lt;15,Ceilings!$S$3*I77,Ceilings!$S$3*14+Ceilings!$S$4*(I77-14))))</f>
        <v/>
      </c>
      <c r="P77" s="183" t="str">
        <f t="shared" ref="P77:P106" si="14">IF(N77="","",$E77*N77+IF(O77="",0,$H77*O77))</f>
        <v/>
      </c>
      <c r="Q77" s="436"/>
      <c r="R77" s="266" t="str">
        <f>IF(OR(ISBLANK($D77),ISBLANK($K77),ISBLANK(Q77)),"",Ceilings!$V$3*Q77)</f>
        <v/>
      </c>
      <c r="S77" s="72" t="str">
        <f t="shared" si="11"/>
        <v/>
      </c>
    </row>
    <row r="78" spans="1:19" ht="15.75" customHeight="1">
      <c r="A78" s="506"/>
      <c r="B78" s="51" t="str">
        <f>IF(ISBLANK(A78),"",VLOOKUP(A78,Management!$A$11:$C$25,2,0))</f>
        <v/>
      </c>
      <c r="C78" s="433"/>
      <c r="D78" s="421"/>
      <c r="E78" s="433"/>
      <c r="F78" s="434"/>
      <c r="G78" s="95" t="str">
        <f t="shared" si="12"/>
        <v/>
      </c>
      <c r="H78" s="435"/>
      <c r="I78" s="434"/>
      <c r="J78" s="95" t="str">
        <f t="shared" si="13"/>
        <v/>
      </c>
      <c r="K78" s="81"/>
      <c r="L78" s="362"/>
      <c r="M78" s="256" t="str">
        <f t="shared" si="10"/>
        <v/>
      </c>
      <c r="N78" s="184" t="str">
        <f>IF(OR(ISBLANK($D78),ISBLANK($K78),ISBLANK($L78)),"",IF($L78="0–9 km",0,IF(LEFT($D78,15)="Long-term teach",VLOOKUP($K78,Subsistence,2,0)*14+VLOOKUP($K78,Subsistence,3,0)*46+VLOOKUP($K78,Subsistence,4,0)*($F78-60),IF(LEFT($D78,15)="Short-term join",IF($F78&lt;15,Ceilings!$S$3*$F78,Ceilings!$S$3*14+Ceilings!$S$4*($F78-14)),IF(LEFT($D78,15)="Long-term study",VLOOKUP($K78,Subsistence,5,0)*ROUND($F78/30,0),IF($F78&lt;15,Ceilings!$S$6*$F78,Ceilings!$S$6*14+Ceilings!$S$7*($F78-14)))))))</f>
        <v/>
      </c>
      <c r="O78" s="185" t="str">
        <f>IF(OR(ISBLANK(D78),ISBLANK(H78),ISBLANK(K78),ISBLANK(L78)),"",IF(L78="0–9 km",0,IF(I78&lt;15,Ceilings!$S$3*I78,Ceilings!$S$3*14+Ceilings!$S$4*(I78-14))))</f>
        <v/>
      </c>
      <c r="P78" s="183" t="str">
        <f t="shared" si="14"/>
        <v/>
      </c>
      <c r="Q78" s="436"/>
      <c r="R78" s="266" t="str">
        <f>IF(OR(ISBLANK($D78),ISBLANK($K78),ISBLANK(Q78)),"",Ceilings!$V$3*Q78)</f>
        <v/>
      </c>
      <c r="S78" s="72" t="str">
        <f t="shared" si="11"/>
        <v/>
      </c>
    </row>
    <row r="79" spans="1:19" ht="15.75" customHeight="1">
      <c r="A79" s="506"/>
      <c r="B79" s="51" t="str">
        <f>IF(ISBLANK(A79),"",VLOOKUP(A79,Management!$A$11:$C$25,2,0))</f>
        <v/>
      </c>
      <c r="C79" s="433"/>
      <c r="D79" s="421"/>
      <c r="E79" s="433"/>
      <c r="F79" s="434"/>
      <c r="G79" s="95" t="str">
        <f t="shared" si="12"/>
        <v/>
      </c>
      <c r="H79" s="435"/>
      <c r="I79" s="434"/>
      <c r="J79" s="95" t="str">
        <f t="shared" si="13"/>
        <v/>
      </c>
      <c r="K79" s="81"/>
      <c r="L79" s="362"/>
      <c r="M79" s="256" t="str">
        <f t="shared" si="10"/>
        <v/>
      </c>
      <c r="N79" s="184" t="str">
        <f>IF(OR(ISBLANK($D79),ISBLANK($K79),ISBLANK($L79)),"",IF($L79="0–9 km",0,IF(LEFT($D79,15)="Long-term teach",VLOOKUP($K79,Subsistence,2,0)*14+VLOOKUP($K79,Subsistence,3,0)*46+VLOOKUP($K79,Subsistence,4,0)*($F79-60),IF(LEFT($D79,15)="Short-term join",IF($F79&lt;15,Ceilings!$S$3*$F79,Ceilings!$S$3*14+Ceilings!$S$4*($F79-14)),IF(LEFT($D79,15)="Long-term study",VLOOKUP($K79,Subsistence,5,0)*ROUND($F79/30,0),IF($F79&lt;15,Ceilings!$S$6*$F79,Ceilings!$S$6*14+Ceilings!$S$7*($F79-14)))))))</f>
        <v/>
      </c>
      <c r="O79" s="185" t="str">
        <f>IF(OR(ISBLANK(D79),ISBLANK(H79),ISBLANK(K79),ISBLANK(L79)),"",IF(L79="0–9 km",0,IF(I79&lt;15,Ceilings!$S$3*I79,Ceilings!$S$3*14+Ceilings!$S$4*(I79-14))))</f>
        <v/>
      </c>
      <c r="P79" s="183" t="str">
        <f t="shared" si="14"/>
        <v/>
      </c>
      <c r="Q79" s="436"/>
      <c r="R79" s="266" t="str">
        <f>IF(OR(ISBLANK($D79),ISBLANK($K79),ISBLANK(Q79)),"",Ceilings!$V$3*Q79)</f>
        <v/>
      </c>
      <c r="S79" s="72" t="str">
        <f t="shared" si="11"/>
        <v/>
      </c>
    </row>
    <row r="80" spans="1:19" ht="15.75" customHeight="1">
      <c r="A80" s="506"/>
      <c r="B80" s="51" t="str">
        <f>IF(ISBLANK(A80),"",VLOOKUP(A80,Management!$A$11:$C$25,2,0))</f>
        <v/>
      </c>
      <c r="C80" s="433"/>
      <c r="D80" s="421"/>
      <c r="E80" s="433"/>
      <c r="F80" s="434"/>
      <c r="G80" s="95" t="str">
        <f t="shared" si="12"/>
        <v/>
      </c>
      <c r="H80" s="435"/>
      <c r="I80" s="434"/>
      <c r="J80" s="95" t="str">
        <f t="shared" si="13"/>
        <v/>
      </c>
      <c r="K80" s="81"/>
      <c r="L80" s="362"/>
      <c r="M80" s="256" t="str">
        <f t="shared" si="10"/>
        <v/>
      </c>
      <c r="N80" s="184" t="str">
        <f>IF(OR(ISBLANK($D80),ISBLANK($K80),ISBLANK($L80)),"",IF($L80="0–9 km",0,IF(LEFT($D80,15)="Long-term teach",VLOOKUP($K80,Subsistence,2,0)*14+VLOOKUP($K80,Subsistence,3,0)*46+VLOOKUP($K80,Subsistence,4,0)*($F80-60),IF(LEFT($D80,15)="Short-term join",IF($F80&lt;15,Ceilings!$S$3*$F80,Ceilings!$S$3*14+Ceilings!$S$4*($F80-14)),IF(LEFT($D80,15)="Long-term study",VLOOKUP($K80,Subsistence,5,0)*ROUND($F80/30,0),IF($F80&lt;15,Ceilings!$S$6*$F80,Ceilings!$S$6*14+Ceilings!$S$7*($F80-14)))))))</f>
        <v/>
      </c>
      <c r="O80" s="185" t="str">
        <f>IF(OR(ISBLANK(D80),ISBLANK(H80),ISBLANK(K80),ISBLANK(L80)),"",IF(L80="0–9 km",0,IF(I80&lt;15,Ceilings!$S$3*I80,Ceilings!$S$3*14+Ceilings!$S$4*(I80-14))))</f>
        <v/>
      </c>
      <c r="P80" s="183" t="str">
        <f t="shared" si="14"/>
        <v/>
      </c>
      <c r="Q80" s="436"/>
      <c r="R80" s="266" t="str">
        <f>IF(OR(ISBLANK($D80),ISBLANK($K80),ISBLANK(Q80)),"",Ceilings!$V$3*Q80)</f>
        <v/>
      </c>
      <c r="S80" s="72" t="str">
        <f t="shared" si="11"/>
        <v/>
      </c>
    </row>
    <row r="81" spans="1:19" ht="15.75" customHeight="1">
      <c r="A81" s="506"/>
      <c r="B81" s="51" t="str">
        <f>IF(ISBLANK(A81),"",VLOOKUP(A81,Management!$A$11:$C$25,2,0))</f>
        <v/>
      </c>
      <c r="C81" s="433"/>
      <c r="D81" s="421"/>
      <c r="E81" s="433"/>
      <c r="F81" s="434"/>
      <c r="G81" s="95" t="str">
        <f t="shared" si="12"/>
        <v/>
      </c>
      <c r="H81" s="435"/>
      <c r="I81" s="434"/>
      <c r="J81" s="95" t="str">
        <f t="shared" si="13"/>
        <v/>
      </c>
      <c r="K81" s="81"/>
      <c r="L81" s="362"/>
      <c r="M81" s="256" t="str">
        <f t="shared" si="10"/>
        <v/>
      </c>
      <c r="N81" s="184" t="str">
        <f>IF(OR(ISBLANK($D81),ISBLANK($K81),ISBLANK($L81)),"",IF($L81="0–9 km",0,IF(LEFT($D81,15)="Long-term teach",VLOOKUP($K81,Subsistence,2,0)*14+VLOOKUP($K81,Subsistence,3,0)*46+VLOOKUP($K81,Subsistence,4,0)*($F81-60),IF(LEFT($D81,15)="Short-term join",IF($F81&lt;15,Ceilings!$S$3*$F81,Ceilings!$S$3*14+Ceilings!$S$4*($F81-14)),IF(LEFT($D81,15)="Long-term study",VLOOKUP($K81,Subsistence,5,0)*ROUND($F81/30,0),IF($F81&lt;15,Ceilings!$S$6*$F81,Ceilings!$S$6*14+Ceilings!$S$7*($F81-14)))))))</f>
        <v/>
      </c>
      <c r="O81" s="185" t="str">
        <f>IF(OR(ISBLANK(D81),ISBLANK(H81),ISBLANK(K81),ISBLANK(L81)),"",IF(L81="0–9 km",0,IF(I81&lt;15,Ceilings!$S$3*I81,Ceilings!$S$3*14+Ceilings!$S$4*(I81-14))))</f>
        <v/>
      </c>
      <c r="P81" s="183" t="str">
        <f t="shared" si="14"/>
        <v/>
      </c>
      <c r="Q81" s="436"/>
      <c r="R81" s="266" t="str">
        <f>IF(OR(ISBLANK($D81),ISBLANK($K81),ISBLANK(Q81)),"",Ceilings!$V$3*Q81)</f>
        <v/>
      </c>
      <c r="S81" s="72" t="str">
        <f t="shared" si="11"/>
        <v/>
      </c>
    </row>
    <row r="82" spans="1:19" ht="15.75" customHeight="1">
      <c r="A82" s="506"/>
      <c r="B82" s="51" t="str">
        <f>IF(ISBLANK(A82),"",VLOOKUP(A82,Management!$A$11:$C$25,2,0))</f>
        <v/>
      </c>
      <c r="C82" s="433"/>
      <c r="D82" s="421"/>
      <c r="E82" s="433"/>
      <c r="F82" s="434"/>
      <c r="G82" s="95" t="str">
        <f t="shared" si="12"/>
        <v/>
      </c>
      <c r="H82" s="435"/>
      <c r="I82" s="434"/>
      <c r="J82" s="95" t="str">
        <f t="shared" si="13"/>
        <v/>
      </c>
      <c r="K82" s="81"/>
      <c r="L82" s="362"/>
      <c r="M82" s="256" t="str">
        <f t="shared" si="10"/>
        <v/>
      </c>
      <c r="N82" s="184" t="str">
        <f>IF(OR(ISBLANK($D82),ISBLANK($K82),ISBLANK($L82)),"",IF($L82="0–9 km",0,IF(LEFT($D82,15)="Long-term teach",VLOOKUP($K82,Subsistence,2,0)*14+VLOOKUP($K82,Subsistence,3,0)*46+VLOOKUP($K82,Subsistence,4,0)*($F82-60),IF(LEFT($D82,15)="Short-term join",IF($F82&lt;15,Ceilings!$S$3*$F82,Ceilings!$S$3*14+Ceilings!$S$4*($F82-14)),IF(LEFT($D82,15)="Long-term study",VLOOKUP($K82,Subsistence,5,0)*ROUND($F82/30,0),IF($F82&lt;15,Ceilings!$S$6*$F82,Ceilings!$S$6*14+Ceilings!$S$7*($F82-14)))))))</f>
        <v/>
      </c>
      <c r="O82" s="185" t="str">
        <f>IF(OR(ISBLANK(D82),ISBLANK(H82),ISBLANK(K82),ISBLANK(L82)),"",IF(L82="0–9 km",0,IF(I82&lt;15,Ceilings!$S$3*I82,Ceilings!$S$3*14+Ceilings!$S$4*(I82-14))))</f>
        <v/>
      </c>
      <c r="P82" s="183" t="str">
        <f t="shared" si="14"/>
        <v/>
      </c>
      <c r="Q82" s="436"/>
      <c r="R82" s="266" t="str">
        <f>IF(OR(ISBLANK($D82),ISBLANK($K82),ISBLANK(Q82)),"",Ceilings!$V$3*Q82)</f>
        <v/>
      </c>
      <c r="S82" s="72" t="str">
        <f t="shared" si="11"/>
        <v/>
      </c>
    </row>
    <row r="83" spans="1:19" ht="15.75" customHeight="1">
      <c r="A83" s="506"/>
      <c r="B83" s="51" t="str">
        <f>IF(ISBLANK(A83),"",VLOOKUP(A83,Management!$A$11:$C$25,2,0))</f>
        <v/>
      </c>
      <c r="C83" s="433"/>
      <c r="D83" s="421"/>
      <c r="E83" s="433"/>
      <c r="F83" s="434"/>
      <c r="G83" s="95" t="str">
        <f t="shared" si="12"/>
        <v/>
      </c>
      <c r="H83" s="435"/>
      <c r="I83" s="434"/>
      <c r="J83" s="95" t="str">
        <f t="shared" si="13"/>
        <v/>
      </c>
      <c r="K83" s="81"/>
      <c r="L83" s="362"/>
      <c r="M83" s="256" t="str">
        <f t="shared" si="10"/>
        <v/>
      </c>
      <c r="N83" s="184" t="str">
        <f>IF(OR(ISBLANK($D83),ISBLANK($K83),ISBLANK($L83)),"",IF($L83="0–9 km",0,IF(LEFT($D83,15)="Long-term teach",VLOOKUP($K83,Subsistence,2,0)*14+VLOOKUP($K83,Subsistence,3,0)*46+VLOOKUP($K83,Subsistence,4,0)*($F83-60),IF(LEFT($D83,15)="Short-term join",IF($F83&lt;15,Ceilings!$S$3*$F83,Ceilings!$S$3*14+Ceilings!$S$4*($F83-14)),IF(LEFT($D83,15)="Long-term study",VLOOKUP($K83,Subsistence,5,0)*ROUND($F83/30,0),IF($F83&lt;15,Ceilings!$S$6*$F83,Ceilings!$S$6*14+Ceilings!$S$7*($F83-14)))))))</f>
        <v/>
      </c>
      <c r="O83" s="185" t="str">
        <f>IF(OR(ISBLANK(D83),ISBLANK(H83),ISBLANK(K83),ISBLANK(L83)),"",IF(L83="0–9 km",0,IF(I83&lt;15,Ceilings!$S$3*I83,Ceilings!$S$3*14+Ceilings!$S$4*(I83-14))))</f>
        <v/>
      </c>
      <c r="P83" s="183" t="str">
        <f t="shared" si="14"/>
        <v/>
      </c>
      <c r="Q83" s="436"/>
      <c r="R83" s="266" t="str">
        <f>IF(OR(ISBLANK($D83),ISBLANK($K83),ISBLANK(Q83)),"",Ceilings!$V$3*Q83)</f>
        <v/>
      </c>
      <c r="S83" s="72" t="str">
        <f t="shared" si="11"/>
        <v/>
      </c>
    </row>
    <row r="84" spans="1:19" ht="15.75" customHeight="1">
      <c r="A84" s="506"/>
      <c r="B84" s="51" t="str">
        <f>IF(ISBLANK(A84),"",VLOOKUP(A84,Management!$A$11:$C$25,2,0))</f>
        <v/>
      </c>
      <c r="C84" s="433"/>
      <c r="D84" s="421"/>
      <c r="E84" s="433"/>
      <c r="F84" s="434"/>
      <c r="G84" s="95" t="str">
        <f t="shared" si="12"/>
        <v/>
      </c>
      <c r="H84" s="435"/>
      <c r="I84" s="434"/>
      <c r="J84" s="95" t="str">
        <f t="shared" si="13"/>
        <v/>
      </c>
      <c r="K84" s="81"/>
      <c r="L84" s="362"/>
      <c r="M84" s="256" t="str">
        <f t="shared" si="10"/>
        <v/>
      </c>
      <c r="N84" s="184" t="str">
        <f>IF(OR(ISBLANK($D84),ISBLANK($K84),ISBLANK($L84)),"",IF($L84="0–9 km",0,IF(LEFT($D84,15)="Long-term teach",VLOOKUP($K84,Subsistence,2,0)*14+VLOOKUP($K84,Subsistence,3,0)*46+VLOOKUP($K84,Subsistence,4,0)*($F84-60),IF(LEFT($D84,15)="Short-term join",IF($F84&lt;15,Ceilings!$S$3*$F84,Ceilings!$S$3*14+Ceilings!$S$4*($F84-14)),IF(LEFT($D84,15)="Long-term study",VLOOKUP($K84,Subsistence,5,0)*ROUND($F84/30,0),IF($F84&lt;15,Ceilings!$S$6*$F84,Ceilings!$S$6*14+Ceilings!$S$7*($F84-14)))))))</f>
        <v/>
      </c>
      <c r="O84" s="185" t="str">
        <f>IF(OR(ISBLANK(D84),ISBLANK(H84),ISBLANK(K84),ISBLANK(L84)),"",IF(L84="0–9 km",0,IF(I84&lt;15,Ceilings!$S$3*I84,Ceilings!$S$3*14+Ceilings!$S$4*(I84-14))))</f>
        <v/>
      </c>
      <c r="P84" s="183" t="str">
        <f t="shared" si="14"/>
        <v/>
      </c>
      <c r="Q84" s="436"/>
      <c r="R84" s="266" t="str">
        <f>IF(OR(ISBLANK($D84),ISBLANK($K84),ISBLANK(Q84)),"",Ceilings!$V$3*Q84)</f>
        <v/>
      </c>
      <c r="S84" s="72" t="str">
        <f t="shared" si="11"/>
        <v/>
      </c>
    </row>
    <row r="85" spans="1:19" ht="15.75" customHeight="1">
      <c r="A85" s="506"/>
      <c r="B85" s="51" t="str">
        <f>IF(ISBLANK(A85),"",VLOOKUP(A85,Management!$A$11:$C$25,2,0))</f>
        <v/>
      </c>
      <c r="C85" s="433"/>
      <c r="D85" s="421"/>
      <c r="E85" s="433"/>
      <c r="F85" s="434"/>
      <c r="G85" s="95" t="str">
        <f t="shared" si="12"/>
        <v/>
      </c>
      <c r="H85" s="435"/>
      <c r="I85" s="434"/>
      <c r="J85" s="95" t="str">
        <f t="shared" si="13"/>
        <v/>
      </c>
      <c r="K85" s="81"/>
      <c r="L85" s="362"/>
      <c r="M85" s="256" t="str">
        <f t="shared" si="10"/>
        <v/>
      </c>
      <c r="N85" s="184" t="str">
        <f>IF(OR(ISBLANK($D85),ISBLANK($K85),ISBLANK($L85)),"",IF($L85="0–9 km",0,IF(LEFT($D85,15)="Long-term teach",VLOOKUP($K85,Subsistence,2,0)*14+VLOOKUP($K85,Subsistence,3,0)*46+VLOOKUP($K85,Subsistence,4,0)*($F85-60),IF(LEFT($D85,15)="Short-term join",IF($F85&lt;15,Ceilings!$S$3*$F85,Ceilings!$S$3*14+Ceilings!$S$4*($F85-14)),IF(LEFT($D85,15)="Long-term study",VLOOKUP($K85,Subsistence,5,0)*ROUND($F85/30,0),IF($F85&lt;15,Ceilings!$S$6*$F85,Ceilings!$S$6*14+Ceilings!$S$7*($F85-14)))))))</f>
        <v/>
      </c>
      <c r="O85" s="185" t="str">
        <f>IF(OR(ISBLANK(D85),ISBLANK(H85),ISBLANK(K85),ISBLANK(L85)),"",IF(L85="0–9 km",0,IF(I85&lt;15,Ceilings!$S$3*I85,Ceilings!$S$3*14+Ceilings!$S$4*(I85-14))))</f>
        <v/>
      </c>
      <c r="P85" s="183" t="str">
        <f t="shared" si="14"/>
        <v/>
      </c>
      <c r="Q85" s="436"/>
      <c r="R85" s="266" t="str">
        <f>IF(OR(ISBLANK($D85),ISBLANK($K85),ISBLANK(Q85)),"",Ceilings!$V$3*Q85)</f>
        <v/>
      </c>
      <c r="S85" s="72" t="str">
        <f t="shared" si="11"/>
        <v/>
      </c>
    </row>
    <row r="86" spans="1:19" ht="15.75" customHeight="1">
      <c r="A86" s="506"/>
      <c r="B86" s="51" t="str">
        <f>IF(ISBLANK(A86),"",VLOOKUP(A86,Management!$A$11:$C$25,2,0))</f>
        <v/>
      </c>
      <c r="C86" s="433"/>
      <c r="D86" s="421"/>
      <c r="E86" s="433"/>
      <c r="F86" s="434"/>
      <c r="G86" s="95" t="str">
        <f t="shared" si="12"/>
        <v/>
      </c>
      <c r="H86" s="435"/>
      <c r="I86" s="434"/>
      <c r="J86" s="95" t="str">
        <f t="shared" si="13"/>
        <v/>
      </c>
      <c r="K86" s="81"/>
      <c r="L86" s="362"/>
      <c r="M86" s="256" t="str">
        <f t="shared" si="10"/>
        <v/>
      </c>
      <c r="N86" s="184" t="str">
        <f>IF(OR(ISBLANK($D86),ISBLANK($K86),ISBLANK($L86)),"",IF($L86="0–9 km",0,IF(LEFT($D86,15)="Long-term teach",VLOOKUP($K86,Subsistence,2,0)*14+VLOOKUP($K86,Subsistence,3,0)*46+VLOOKUP($K86,Subsistence,4,0)*($F86-60),IF(LEFT($D86,15)="Short-term join",IF($F86&lt;15,Ceilings!$S$3*$F86,Ceilings!$S$3*14+Ceilings!$S$4*($F86-14)),IF(LEFT($D86,15)="Long-term study",VLOOKUP($K86,Subsistence,5,0)*ROUND($F86/30,0),IF($F86&lt;15,Ceilings!$S$6*$F86,Ceilings!$S$6*14+Ceilings!$S$7*($F86-14)))))))</f>
        <v/>
      </c>
      <c r="O86" s="185" t="str">
        <f>IF(OR(ISBLANK(D86),ISBLANK(H86),ISBLANK(K86),ISBLANK(L86)),"",IF(L86="0–9 km",0,IF(I86&lt;15,Ceilings!$S$3*I86,Ceilings!$S$3*14+Ceilings!$S$4*(I86-14))))</f>
        <v/>
      </c>
      <c r="P86" s="183" t="str">
        <f t="shared" si="14"/>
        <v/>
      </c>
      <c r="Q86" s="436"/>
      <c r="R86" s="266" t="str">
        <f>IF(OR(ISBLANK($D86),ISBLANK($K86),ISBLANK(Q86)),"",Ceilings!$V$3*Q86)</f>
        <v/>
      </c>
      <c r="S86" s="72" t="str">
        <f t="shared" si="11"/>
        <v/>
      </c>
    </row>
    <row r="87" spans="1:19" ht="15.75" customHeight="1">
      <c r="A87" s="506"/>
      <c r="B87" s="51" t="str">
        <f>IF(ISBLANK(A87),"",VLOOKUP(A87,Management!$A$11:$C$25,2,0))</f>
        <v/>
      </c>
      <c r="C87" s="433"/>
      <c r="D87" s="421"/>
      <c r="E87" s="433"/>
      <c r="F87" s="434"/>
      <c r="G87" s="95" t="str">
        <f t="shared" si="12"/>
        <v/>
      </c>
      <c r="H87" s="435"/>
      <c r="I87" s="434"/>
      <c r="J87" s="95" t="str">
        <f t="shared" si="13"/>
        <v/>
      </c>
      <c r="K87" s="81"/>
      <c r="L87" s="362"/>
      <c r="M87" s="256" t="str">
        <f t="shared" si="10"/>
        <v/>
      </c>
      <c r="N87" s="184" t="str">
        <f>IF(OR(ISBLANK($D87),ISBLANK($K87),ISBLANK($L87)),"",IF($L87="0–9 km",0,IF(LEFT($D87,15)="Long-term teach",VLOOKUP($K87,Subsistence,2,0)*14+VLOOKUP($K87,Subsistence,3,0)*46+VLOOKUP($K87,Subsistence,4,0)*($F87-60),IF(LEFT($D87,15)="Short-term join",IF($F87&lt;15,Ceilings!$S$3*$F87,Ceilings!$S$3*14+Ceilings!$S$4*($F87-14)),IF(LEFT($D87,15)="Long-term study",VLOOKUP($K87,Subsistence,5,0)*ROUND($F87/30,0),IF($F87&lt;15,Ceilings!$S$6*$F87,Ceilings!$S$6*14+Ceilings!$S$7*($F87-14)))))))</f>
        <v/>
      </c>
      <c r="O87" s="185" t="str">
        <f>IF(OR(ISBLANK(D87),ISBLANK(H87),ISBLANK(K87),ISBLANK(L87)),"",IF(L87="0–9 km",0,IF(I87&lt;15,Ceilings!$S$3*I87,Ceilings!$S$3*14+Ceilings!$S$4*(I87-14))))</f>
        <v/>
      </c>
      <c r="P87" s="183" t="str">
        <f t="shared" si="14"/>
        <v/>
      </c>
      <c r="Q87" s="436"/>
      <c r="R87" s="266" t="str">
        <f>IF(OR(ISBLANK($D87),ISBLANK($K87),ISBLANK(Q87)),"",Ceilings!$V$3*Q87)</f>
        <v/>
      </c>
      <c r="S87" s="72" t="str">
        <f t="shared" si="11"/>
        <v/>
      </c>
    </row>
    <row r="88" spans="1:19" ht="15.75" customHeight="1">
      <c r="A88" s="506"/>
      <c r="B88" s="51" t="str">
        <f>IF(ISBLANK(A88),"",VLOOKUP(A88,Management!$A$11:$C$25,2,0))</f>
        <v/>
      </c>
      <c r="C88" s="433"/>
      <c r="D88" s="421"/>
      <c r="E88" s="433"/>
      <c r="F88" s="434"/>
      <c r="G88" s="95" t="str">
        <f t="shared" si="12"/>
        <v/>
      </c>
      <c r="H88" s="435"/>
      <c r="I88" s="434"/>
      <c r="J88" s="95" t="str">
        <f t="shared" si="13"/>
        <v/>
      </c>
      <c r="K88" s="81"/>
      <c r="L88" s="362"/>
      <c r="M88" s="256" t="str">
        <f t="shared" si="10"/>
        <v/>
      </c>
      <c r="N88" s="184" t="str">
        <f>IF(OR(ISBLANK($D88),ISBLANK($K88),ISBLANK($L88)),"",IF($L88="0–9 km",0,IF(LEFT($D88,15)="Long-term teach",VLOOKUP($K88,Subsistence,2,0)*14+VLOOKUP($K88,Subsistence,3,0)*46+VLOOKUP($K88,Subsistence,4,0)*($F88-60),IF(LEFT($D88,15)="Short-term join",IF($F88&lt;15,Ceilings!$S$3*$F88,Ceilings!$S$3*14+Ceilings!$S$4*($F88-14)),IF(LEFT($D88,15)="Long-term study",VLOOKUP($K88,Subsistence,5,0)*ROUND($F88/30,0),IF($F88&lt;15,Ceilings!$S$6*$F88,Ceilings!$S$6*14+Ceilings!$S$7*($F88-14)))))))</f>
        <v/>
      </c>
      <c r="O88" s="185" t="str">
        <f>IF(OR(ISBLANK(D88),ISBLANK(H88),ISBLANK(K88),ISBLANK(L88)),"",IF(L88="0–9 km",0,IF(I88&lt;15,Ceilings!$S$3*I88,Ceilings!$S$3*14+Ceilings!$S$4*(I88-14))))</f>
        <v/>
      </c>
      <c r="P88" s="183" t="str">
        <f t="shared" si="14"/>
        <v/>
      </c>
      <c r="Q88" s="436"/>
      <c r="R88" s="266" t="str">
        <f>IF(OR(ISBLANK($D88),ISBLANK($K88),ISBLANK(Q88)),"",Ceilings!$V$3*Q88)</f>
        <v/>
      </c>
      <c r="S88" s="72" t="str">
        <f t="shared" si="11"/>
        <v/>
      </c>
    </row>
    <row r="89" spans="1:19" ht="15.75" customHeight="1">
      <c r="A89" s="506"/>
      <c r="B89" s="51" t="str">
        <f>IF(ISBLANK(A89),"",VLOOKUP(A89,Management!$A$11:$C$25,2,0))</f>
        <v/>
      </c>
      <c r="C89" s="433"/>
      <c r="D89" s="421"/>
      <c r="E89" s="433"/>
      <c r="F89" s="434"/>
      <c r="G89" s="95" t="str">
        <f t="shared" si="12"/>
        <v/>
      </c>
      <c r="H89" s="435"/>
      <c r="I89" s="434"/>
      <c r="J89" s="95" t="str">
        <f t="shared" si="13"/>
        <v/>
      </c>
      <c r="K89" s="81"/>
      <c r="L89" s="362"/>
      <c r="M89" s="256" t="str">
        <f t="shared" si="10"/>
        <v/>
      </c>
      <c r="N89" s="184" t="str">
        <f>IF(OR(ISBLANK($D89),ISBLANK($K89),ISBLANK($L89)),"",IF($L89="0–9 km",0,IF(LEFT($D89,15)="Long-term teach",VLOOKUP($K89,Subsistence,2,0)*14+VLOOKUP($K89,Subsistence,3,0)*46+VLOOKUP($K89,Subsistence,4,0)*($F89-60),IF(LEFT($D89,15)="Short-term join",IF($F89&lt;15,Ceilings!$S$3*$F89,Ceilings!$S$3*14+Ceilings!$S$4*($F89-14)),IF(LEFT($D89,15)="Long-term study",VLOOKUP($K89,Subsistence,5,0)*ROUND($F89/30,0),IF($F89&lt;15,Ceilings!$S$6*$F89,Ceilings!$S$6*14+Ceilings!$S$7*($F89-14)))))))</f>
        <v/>
      </c>
      <c r="O89" s="185" t="str">
        <f>IF(OR(ISBLANK(D89),ISBLANK(H89),ISBLANK(K89),ISBLANK(L89)),"",IF(L89="0–9 km",0,IF(I89&lt;15,Ceilings!$S$3*I89,Ceilings!$S$3*14+Ceilings!$S$4*(I89-14))))</f>
        <v/>
      </c>
      <c r="P89" s="183" t="str">
        <f t="shared" si="14"/>
        <v/>
      </c>
      <c r="Q89" s="436"/>
      <c r="R89" s="266" t="str">
        <f>IF(OR(ISBLANK($D89),ISBLANK($K89),ISBLANK(Q89)),"",Ceilings!$V$3*Q89)</f>
        <v/>
      </c>
      <c r="S89" s="72" t="str">
        <f t="shared" si="11"/>
        <v/>
      </c>
    </row>
    <row r="90" spans="1:19" ht="15.75" customHeight="1">
      <c r="A90" s="506"/>
      <c r="B90" s="51" t="str">
        <f>IF(ISBLANK(A90),"",VLOOKUP(A90,Management!$A$11:$C$25,2,0))</f>
        <v/>
      </c>
      <c r="C90" s="433"/>
      <c r="D90" s="421"/>
      <c r="E90" s="433"/>
      <c r="F90" s="434"/>
      <c r="G90" s="95" t="str">
        <f t="shared" si="12"/>
        <v/>
      </c>
      <c r="H90" s="435"/>
      <c r="I90" s="434"/>
      <c r="J90" s="95" t="str">
        <f t="shared" si="13"/>
        <v/>
      </c>
      <c r="K90" s="81"/>
      <c r="L90" s="362"/>
      <c r="M90" s="256" t="str">
        <f t="shared" si="10"/>
        <v/>
      </c>
      <c r="N90" s="184" t="str">
        <f>IF(OR(ISBLANK($D90),ISBLANK($K90),ISBLANK($L90)),"",IF($L90="0–9 km",0,IF(LEFT($D90,15)="Long-term teach",VLOOKUP($K90,Subsistence,2,0)*14+VLOOKUP($K90,Subsistence,3,0)*46+VLOOKUP($K90,Subsistence,4,0)*($F90-60),IF(LEFT($D90,15)="Short-term join",IF($F90&lt;15,Ceilings!$S$3*$F90,Ceilings!$S$3*14+Ceilings!$S$4*($F90-14)),IF(LEFT($D90,15)="Long-term study",VLOOKUP($K90,Subsistence,5,0)*ROUND($F90/30,0),IF($F90&lt;15,Ceilings!$S$6*$F90,Ceilings!$S$6*14+Ceilings!$S$7*($F90-14)))))))</f>
        <v/>
      </c>
      <c r="O90" s="185" t="str">
        <f>IF(OR(ISBLANK(D90),ISBLANK(H90),ISBLANK(K90),ISBLANK(L90)),"",IF(L90="0–9 km",0,IF(I90&lt;15,Ceilings!$S$3*I90,Ceilings!$S$3*14+Ceilings!$S$4*(I90-14))))</f>
        <v/>
      </c>
      <c r="P90" s="183" t="str">
        <f t="shared" si="14"/>
        <v/>
      </c>
      <c r="Q90" s="436"/>
      <c r="R90" s="266" t="str">
        <f>IF(OR(ISBLANK($D90),ISBLANK($K90),ISBLANK(Q90)),"",Ceilings!$V$3*Q90)</f>
        <v/>
      </c>
      <c r="S90" s="72" t="str">
        <f t="shared" si="11"/>
        <v/>
      </c>
    </row>
    <row r="91" spans="1:19" ht="15.75" customHeight="1">
      <c r="A91" s="506"/>
      <c r="B91" s="51" t="str">
        <f>IF(ISBLANK(A91),"",VLOOKUP(A91,Management!$A$11:$C$25,2,0))</f>
        <v/>
      </c>
      <c r="C91" s="433"/>
      <c r="D91" s="421"/>
      <c r="E91" s="433"/>
      <c r="F91" s="434"/>
      <c r="G91" s="95" t="str">
        <f t="shared" si="12"/>
        <v/>
      </c>
      <c r="H91" s="435"/>
      <c r="I91" s="434"/>
      <c r="J91" s="95" t="str">
        <f t="shared" si="13"/>
        <v/>
      </c>
      <c r="K91" s="81"/>
      <c r="L91" s="362"/>
      <c r="M91" s="256" t="str">
        <f t="shared" si="10"/>
        <v/>
      </c>
      <c r="N91" s="184" t="str">
        <f>IF(OR(ISBLANK($D91),ISBLANK($K91),ISBLANK($L91)),"",IF($L91="0–9 km",0,IF(LEFT($D91,15)="Long-term teach",VLOOKUP($K91,Subsistence,2,0)*14+VLOOKUP($K91,Subsistence,3,0)*46+VLOOKUP($K91,Subsistence,4,0)*($F91-60),IF(LEFT($D91,15)="Short-term join",IF($F91&lt;15,Ceilings!$S$3*$F91,Ceilings!$S$3*14+Ceilings!$S$4*($F91-14)),IF(LEFT($D91,15)="Long-term study",VLOOKUP($K91,Subsistence,5,0)*ROUND($F91/30,0),IF($F91&lt;15,Ceilings!$S$6*$F91,Ceilings!$S$6*14+Ceilings!$S$7*($F91-14)))))))</f>
        <v/>
      </c>
      <c r="O91" s="185" t="str">
        <f>IF(OR(ISBLANK(D91),ISBLANK(H91),ISBLANK(K91),ISBLANK(L91)),"",IF(L91="0–9 km",0,IF(I91&lt;15,Ceilings!$S$3*I91,Ceilings!$S$3*14+Ceilings!$S$4*(I91-14))))</f>
        <v/>
      </c>
      <c r="P91" s="183" t="str">
        <f t="shared" si="14"/>
        <v/>
      </c>
      <c r="Q91" s="436"/>
      <c r="R91" s="266" t="str">
        <f>IF(OR(ISBLANK($D91),ISBLANK($K91),ISBLANK(Q91)),"",Ceilings!$V$3*Q91)</f>
        <v/>
      </c>
      <c r="S91" s="72" t="str">
        <f t="shared" si="11"/>
        <v/>
      </c>
    </row>
    <row r="92" spans="1:19" ht="15.75" customHeight="1">
      <c r="A92" s="506"/>
      <c r="B92" s="51" t="str">
        <f>IF(ISBLANK(A92),"",VLOOKUP(A92,Management!$A$11:$C$25,2,0))</f>
        <v/>
      </c>
      <c r="C92" s="433"/>
      <c r="D92" s="421"/>
      <c r="E92" s="433"/>
      <c r="F92" s="434"/>
      <c r="G92" s="95" t="str">
        <f t="shared" si="12"/>
        <v/>
      </c>
      <c r="H92" s="435"/>
      <c r="I92" s="434"/>
      <c r="J92" s="95" t="str">
        <f t="shared" si="13"/>
        <v/>
      </c>
      <c r="K92" s="81"/>
      <c r="L92" s="362"/>
      <c r="M92" s="256" t="str">
        <f t="shared" si="10"/>
        <v/>
      </c>
      <c r="N92" s="184" t="str">
        <f>IF(OR(ISBLANK($D92),ISBLANK($K92),ISBLANK($L92)),"",IF($L92="0–9 km",0,IF(LEFT($D92,15)="Long-term teach",VLOOKUP($K92,Subsistence,2,0)*14+VLOOKUP($K92,Subsistence,3,0)*46+VLOOKUP($K92,Subsistence,4,0)*($F92-60),IF(LEFT($D92,15)="Short-term join",IF($F92&lt;15,Ceilings!$S$3*$F92,Ceilings!$S$3*14+Ceilings!$S$4*($F92-14)),IF(LEFT($D92,15)="Long-term study",VLOOKUP($K92,Subsistence,5,0)*ROUND($F92/30,0),IF($F92&lt;15,Ceilings!$S$6*$F92,Ceilings!$S$6*14+Ceilings!$S$7*($F92-14)))))))</f>
        <v/>
      </c>
      <c r="O92" s="185" t="str">
        <f>IF(OR(ISBLANK(D92),ISBLANK(H92),ISBLANK(K92),ISBLANK(L92)),"",IF(L92="0–9 km",0,IF(I92&lt;15,Ceilings!$S$3*I92,Ceilings!$S$3*14+Ceilings!$S$4*(I92-14))))</f>
        <v/>
      </c>
      <c r="P92" s="183" t="str">
        <f t="shared" si="14"/>
        <v/>
      </c>
      <c r="Q92" s="436"/>
      <c r="R92" s="266" t="str">
        <f>IF(OR(ISBLANK($D92),ISBLANK($K92),ISBLANK(Q92)),"",Ceilings!$V$3*Q92)</f>
        <v/>
      </c>
      <c r="S92" s="72" t="str">
        <f t="shared" si="11"/>
        <v/>
      </c>
    </row>
    <row r="93" spans="1:19" ht="15.75" customHeight="1">
      <c r="A93" s="506"/>
      <c r="B93" s="51" t="str">
        <f>IF(ISBLANK(A93),"",VLOOKUP(A93,Management!$A$11:$C$25,2,0))</f>
        <v/>
      </c>
      <c r="C93" s="433"/>
      <c r="D93" s="421"/>
      <c r="E93" s="433"/>
      <c r="F93" s="434"/>
      <c r="G93" s="95" t="str">
        <f t="shared" si="12"/>
        <v/>
      </c>
      <c r="H93" s="435"/>
      <c r="I93" s="434"/>
      <c r="J93" s="95" t="str">
        <f t="shared" si="13"/>
        <v/>
      </c>
      <c r="K93" s="81"/>
      <c r="L93" s="362"/>
      <c r="M93" s="256" t="str">
        <f t="shared" si="10"/>
        <v/>
      </c>
      <c r="N93" s="184" t="str">
        <f>IF(OR(ISBLANK($D93),ISBLANK($K93),ISBLANK($L93)),"",IF($L93="0–9 km",0,IF(LEFT($D93,15)="Long-term teach",VLOOKUP($K93,Subsistence,2,0)*14+VLOOKUP($K93,Subsistence,3,0)*46+VLOOKUP($K93,Subsistence,4,0)*($F93-60),IF(LEFT($D93,15)="Short-term join",IF($F93&lt;15,Ceilings!$S$3*$F93,Ceilings!$S$3*14+Ceilings!$S$4*($F93-14)),IF(LEFT($D93,15)="Long-term study",VLOOKUP($K93,Subsistence,5,0)*ROUND($F93/30,0),IF($F93&lt;15,Ceilings!$S$6*$F93,Ceilings!$S$6*14+Ceilings!$S$7*($F93-14)))))))</f>
        <v/>
      </c>
      <c r="O93" s="185" t="str">
        <f>IF(OR(ISBLANK(D93),ISBLANK(H93),ISBLANK(K93),ISBLANK(L93)),"",IF(L93="0–9 km",0,IF(I93&lt;15,Ceilings!$S$3*I93,Ceilings!$S$3*14+Ceilings!$S$4*(I93-14))))</f>
        <v/>
      </c>
      <c r="P93" s="183" t="str">
        <f t="shared" si="14"/>
        <v/>
      </c>
      <c r="Q93" s="436"/>
      <c r="R93" s="266" t="str">
        <f>IF(OR(ISBLANK($D93),ISBLANK($K93),ISBLANK(Q93)),"",Ceilings!$V$3*Q93)</f>
        <v/>
      </c>
      <c r="S93" s="72" t="str">
        <f t="shared" si="11"/>
        <v/>
      </c>
    </row>
    <row r="94" spans="1:19" ht="15.75" customHeight="1">
      <c r="A94" s="506"/>
      <c r="B94" s="51" t="str">
        <f>IF(ISBLANK(A94),"",VLOOKUP(A94,Management!$A$11:$C$25,2,0))</f>
        <v/>
      </c>
      <c r="C94" s="433"/>
      <c r="D94" s="421"/>
      <c r="E94" s="433"/>
      <c r="F94" s="434"/>
      <c r="G94" s="95" t="str">
        <f t="shared" si="12"/>
        <v/>
      </c>
      <c r="H94" s="435"/>
      <c r="I94" s="434"/>
      <c r="J94" s="95" t="str">
        <f t="shared" si="13"/>
        <v/>
      </c>
      <c r="K94" s="81"/>
      <c r="L94" s="362"/>
      <c r="M94" s="256" t="str">
        <f t="shared" si="10"/>
        <v/>
      </c>
      <c r="N94" s="184" t="str">
        <f>IF(OR(ISBLANK($D94),ISBLANK($K94),ISBLANK($L94)),"",IF($L94="0–9 km",0,IF(LEFT($D94,15)="Long-term teach",VLOOKUP($K94,Subsistence,2,0)*14+VLOOKUP($K94,Subsistence,3,0)*46+VLOOKUP($K94,Subsistence,4,0)*($F94-60),IF(LEFT($D94,15)="Short-term join",IF($F94&lt;15,Ceilings!$S$3*$F94,Ceilings!$S$3*14+Ceilings!$S$4*($F94-14)),IF(LEFT($D94,15)="Long-term study",VLOOKUP($K94,Subsistence,5,0)*ROUND($F94/30,0),IF($F94&lt;15,Ceilings!$S$6*$F94,Ceilings!$S$6*14+Ceilings!$S$7*($F94-14)))))))</f>
        <v/>
      </c>
      <c r="O94" s="185" t="str">
        <f>IF(OR(ISBLANK(D94),ISBLANK(H94),ISBLANK(K94),ISBLANK(L94)),"",IF(L94="0–9 km",0,IF(I94&lt;15,Ceilings!$S$3*I94,Ceilings!$S$3*14+Ceilings!$S$4*(I94-14))))</f>
        <v/>
      </c>
      <c r="P94" s="183" t="str">
        <f t="shared" si="14"/>
        <v/>
      </c>
      <c r="Q94" s="436"/>
      <c r="R94" s="266" t="str">
        <f>IF(OR(ISBLANK($D94),ISBLANK($K94),ISBLANK(Q94)),"",Ceilings!$V$3*Q94)</f>
        <v/>
      </c>
      <c r="S94" s="72" t="str">
        <f t="shared" si="11"/>
        <v/>
      </c>
    </row>
    <row r="95" spans="1:19" ht="15.75" customHeight="1">
      <c r="A95" s="506"/>
      <c r="B95" s="51" t="str">
        <f>IF(ISBLANK(A95),"",VLOOKUP(A95,Management!$A$11:$C$25,2,0))</f>
        <v/>
      </c>
      <c r="C95" s="433"/>
      <c r="D95" s="421"/>
      <c r="E95" s="433"/>
      <c r="F95" s="434"/>
      <c r="G95" s="95" t="str">
        <f t="shared" si="12"/>
        <v/>
      </c>
      <c r="H95" s="435"/>
      <c r="I95" s="434"/>
      <c r="J95" s="95" t="str">
        <f t="shared" si="13"/>
        <v/>
      </c>
      <c r="K95" s="81"/>
      <c r="L95" s="362"/>
      <c r="M95" s="256" t="str">
        <f t="shared" si="10"/>
        <v/>
      </c>
      <c r="N95" s="184" t="str">
        <f>IF(OR(ISBLANK($D95),ISBLANK($K95),ISBLANK($L95)),"",IF($L95="0–9 km",0,IF(LEFT($D95,15)="Long-term teach",VLOOKUP($K95,Subsistence,2,0)*14+VLOOKUP($K95,Subsistence,3,0)*46+VLOOKUP($K95,Subsistence,4,0)*($F95-60),IF(LEFT($D95,15)="Short-term join",IF($F95&lt;15,Ceilings!$S$3*$F95,Ceilings!$S$3*14+Ceilings!$S$4*($F95-14)),IF(LEFT($D95,15)="Long-term study",VLOOKUP($K95,Subsistence,5,0)*ROUND($F95/30,0),IF($F95&lt;15,Ceilings!$S$6*$F95,Ceilings!$S$6*14+Ceilings!$S$7*($F95-14)))))))</f>
        <v/>
      </c>
      <c r="O95" s="185" t="str">
        <f>IF(OR(ISBLANK(D95),ISBLANK(H95),ISBLANK(K95),ISBLANK(L95)),"",IF(L95="0–9 km",0,IF(I95&lt;15,Ceilings!$S$3*I95,Ceilings!$S$3*14+Ceilings!$S$4*(I95-14))))</f>
        <v/>
      </c>
      <c r="P95" s="183" t="str">
        <f t="shared" si="14"/>
        <v/>
      </c>
      <c r="Q95" s="436"/>
      <c r="R95" s="266" t="str">
        <f>IF(OR(ISBLANK($D95),ISBLANK($K95),ISBLANK(Q95)),"",Ceilings!$V$3*Q95)</f>
        <v/>
      </c>
      <c r="S95" s="72" t="str">
        <f t="shared" si="11"/>
        <v/>
      </c>
    </row>
    <row r="96" spans="1:19" ht="15.75" customHeight="1">
      <c r="A96" s="506"/>
      <c r="B96" s="51" t="str">
        <f>IF(ISBLANK(A96),"",VLOOKUP(A96,Management!$A$11:$C$25,2,0))</f>
        <v/>
      </c>
      <c r="C96" s="433"/>
      <c r="D96" s="421"/>
      <c r="E96" s="433"/>
      <c r="F96" s="434"/>
      <c r="G96" s="95" t="str">
        <f t="shared" si="12"/>
        <v/>
      </c>
      <c r="H96" s="435"/>
      <c r="I96" s="434"/>
      <c r="J96" s="95" t="str">
        <f t="shared" si="13"/>
        <v/>
      </c>
      <c r="K96" s="81"/>
      <c r="L96" s="362"/>
      <c r="M96" s="256" t="str">
        <f t="shared" si="10"/>
        <v/>
      </c>
      <c r="N96" s="184" t="str">
        <f>IF(OR(ISBLANK($D96),ISBLANK($K96),ISBLANK($L96)),"",IF($L96="0–9 km",0,IF(LEFT($D96,15)="Long-term teach",VLOOKUP($K96,Subsistence,2,0)*14+VLOOKUP($K96,Subsistence,3,0)*46+VLOOKUP($K96,Subsistence,4,0)*($F96-60),IF(LEFT($D96,15)="Short-term join",IF($F96&lt;15,Ceilings!$S$3*$F96,Ceilings!$S$3*14+Ceilings!$S$4*($F96-14)),IF(LEFT($D96,15)="Long-term study",VLOOKUP($K96,Subsistence,5,0)*ROUND($F96/30,0),IF($F96&lt;15,Ceilings!$S$6*$F96,Ceilings!$S$6*14+Ceilings!$S$7*($F96-14)))))))</f>
        <v/>
      </c>
      <c r="O96" s="185" t="str">
        <f>IF(OR(ISBLANK(D96),ISBLANK(H96),ISBLANK(K96),ISBLANK(L96)),"",IF(L96="0–9 km",0,IF(I96&lt;15,Ceilings!$S$3*I96,Ceilings!$S$3*14+Ceilings!$S$4*(I96-14))))</f>
        <v/>
      </c>
      <c r="P96" s="183" t="str">
        <f t="shared" si="14"/>
        <v/>
      </c>
      <c r="Q96" s="436"/>
      <c r="R96" s="266" t="str">
        <f>IF(OR(ISBLANK($D96),ISBLANK($K96),ISBLANK(Q96)),"",Ceilings!$V$3*Q96)</f>
        <v/>
      </c>
      <c r="S96" s="72" t="str">
        <f t="shared" si="11"/>
        <v/>
      </c>
    </row>
    <row r="97" spans="1:19" ht="15.75" customHeight="1">
      <c r="A97" s="506"/>
      <c r="B97" s="51" t="str">
        <f>IF(ISBLANK(A97),"",VLOOKUP(A97,Management!$A$11:$C$25,2,0))</f>
        <v/>
      </c>
      <c r="C97" s="433"/>
      <c r="D97" s="421"/>
      <c r="E97" s="433"/>
      <c r="F97" s="434"/>
      <c r="G97" s="95" t="str">
        <f t="shared" si="12"/>
        <v/>
      </c>
      <c r="H97" s="435"/>
      <c r="I97" s="434"/>
      <c r="J97" s="95" t="str">
        <f t="shared" si="13"/>
        <v/>
      </c>
      <c r="K97" s="81"/>
      <c r="L97" s="362"/>
      <c r="M97" s="256" t="str">
        <f t="shared" si="10"/>
        <v/>
      </c>
      <c r="N97" s="184" t="str">
        <f>IF(OR(ISBLANK($D97),ISBLANK($K97),ISBLANK($L97)),"",IF($L97="0–9 km",0,IF(LEFT($D97,15)="Long-term teach",VLOOKUP($K97,Subsistence,2,0)*14+VLOOKUP($K97,Subsistence,3,0)*46+VLOOKUP($K97,Subsistence,4,0)*($F97-60),IF(LEFT($D97,15)="Short-term join",IF($F97&lt;15,Ceilings!$S$3*$F97,Ceilings!$S$3*14+Ceilings!$S$4*($F97-14)),IF(LEFT($D97,15)="Long-term study",VLOOKUP($K97,Subsistence,5,0)*ROUND($F97/30,0),IF($F97&lt;15,Ceilings!$S$6*$F97,Ceilings!$S$6*14+Ceilings!$S$7*($F97-14)))))))</f>
        <v/>
      </c>
      <c r="O97" s="185" t="str">
        <f>IF(OR(ISBLANK(D97),ISBLANK(H97),ISBLANK(K97),ISBLANK(L97)),"",IF(L97="0–9 km",0,IF(I97&lt;15,Ceilings!$S$3*I97,Ceilings!$S$3*14+Ceilings!$S$4*(I97-14))))</f>
        <v/>
      </c>
      <c r="P97" s="183" t="str">
        <f t="shared" si="14"/>
        <v/>
      </c>
      <c r="Q97" s="436"/>
      <c r="R97" s="266" t="str">
        <f>IF(OR(ISBLANK($D97),ISBLANK($K97),ISBLANK(Q97)),"",Ceilings!$V$3*Q97)</f>
        <v/>
      </c>
      <c r="S97" s="72" t="str">
        <f t="shared" si="11"/>
        <v/>
      </c>
    </row>
    <row r="98" spans="1:19" ht="15.75" customHeight="1">
      <c r="A98" s="506"/>
      <c r="B98" s="51" t="str">
        <f>IF(ISBLANK(A98),"",VLOOKUP(A98,Management!$A$11:$C$25,2,0))</f>
        <v/>
      </c>
      <c r="C98" s="433"/>
      <c r="D98" s="421"/>
      <c r="E98" s="433"/>
      <c r="F98" s="434"/>
      <c r="G98" s="95" t="str">
        <f t="shared" si="12"/>
        <v/>
      </c>
      <c r="H98" s="435"/>
      <c r="I98" s="434"/>
      <c r="J98" s="95" t="str">
        <f t="shared" si="13"/>
        <v/>
      </c>
      <c r="K98" s="81"/>
      <c r="L98" s="362"/>
      <c r="M98" s="256" t="str">
        <f t="shared" si="10"/>
        <v/>
      </c>
      <c r="N98" s="184" t="str">
        <f>IF(OR(ISBLANK($D98),ISBLANK($K98),ISBLANK($L98)),"",IF($L98="0–9 km",0,IF(LEFT($D98,15)="Long-term teach",VLOOKUP($K98,Subsistence,2,0)*14+VLOOKUP($K98,Subsistence,3,0)*46+VLOOKUP($K98,Subsistence,4,0)*($F98-60),IF(LEFT($D98,15)="Short-term join",IF($F98&lt;15,Ceilings!$S$3*$F98,Ceilings!$S$3*14+Ceilings!$S$4*($F98-14)),IF(LEFT($D98,15)="Long-term study",VLOOKUP($K98,Subsistence,5,0)*ROUND($F98/30,0),IF($F98&lt;15,Ceilings!$S$6*$F98,Ceilings!$S$6*14+Ceilings!$S$7*($F98-14)))))))</f>
        <v/>
      </c>
      <c r="O98" s="185" t="str">
        <f>IF(OR(ISBLANK(D98),ISBLANK(H98),ISBLANK(K98),ISBLANK(L98)),"",IF(L98="0–9 km",0,IF(I98&lt;15,Ceilings!$S$3*I98,Ceilings!$S$3*14+Ceilings!$S$4*(I98-14))))</f>
        <v/>
      </c>
      <c r="P98" s="183" t="str">
        <f t="shared" si="14"/>
        <v/>
      </c>
      <c r="Q98" s="436"/>
      <c r="R98" s="266" t="str">
        <f>IF(OR(ISBLANK($D98),ISBLANK($K98),ISBLANK(Q98)),"",Ceilings!$V$3*Q98)</f>
        <v/>
      </c>
      <c r="S98" s="72" t="str">
        <f t="shared" si="11"/>
        <v/>
      </c>
    </row>
    <row r="99" spans="1:19" ht="15.75" customHeight="1">
      <c r="A99" s="506"/>
      <c r="B99" s="51" t="str">
        <f>IF(ISBLANK(A99),"",VLOOKUP(A99,Management!$A$11:$C$25,2,0))</f>
        <v/>
      </c>
      <c r="C99" s="433"/>
      <c r="D99" s="421"/>
      <c r="E99" s="433"/>
      <c r="F99" s="434"/>
      <c r="G99" s="95" t="str">
        <f t="shared" si="12"/>
        <v/>
      </c>
      <c r="H99" s="435"/>
      <c r="I99" s="434"/>
      <c r="J99" s="95" t="str">
        <f t="shared" si="13"/>
        <v/>
      </c>
      <c r="K99" s="81"/>
      <c r="L99" s="362"/>
      <c r="M99" s="256" t="str">
        <f t="shared" si="10"/>
        <v/>
      </c>
      <c r="N99" s="184" t="str">
        <f>IF(OR(ISBLANK($D99),ISBLANK($K99),ISBLANK($L99)),"",IF($L99="0–9 km",0,IF(LEFT($D99,15)="Long-term teach",VLOOKUP($K99,Subsistence,2,0)*14+VLOOKUP($K99,Subsistence,3,0)*46+VLOOKUP($K99,Subsistence,4,0)*($F99-60),IF(LEFT($D99,15)="Short-term join",IF($F99&lt;15,Ceilings!$S$3*$F99,Ceilings!$S$3*14+Ceilings!$S$4*($F99-14)),IF(LEFT($D99,15)="Long-term study",VLOOKUP($K99,Subsistence,5,0)*ROUND($F99/30,0),IF($F99&lt;15,Ceilings!$S$6*$F99,Ceilings!$S$6*14+Ceilings!$S$7*($F99-14)))))))</f>
        <v/>
      </c>
      <c r="O99" s="185" t="str">
        <f>IF(OR(ISBLANK(D99),ISBLANK(H99),ISBLANK(K99),ISBLANK(L99)),"",IF(L99="0–9 km",0,IF(I99&lt;15,Ceilings!$S$3*I99,Ceilings!$S$3*14+Ceilings!$S$4*(I99-14))))</f>
        <v/>
      </c>
      <c r="P99" s="183" t="str">
        <f t="shared" si="14"/>
        <v/>
      </c>
      <c r="Q99" s="436"/>
      <c r="R99" s="266" t="str">
        <f>IF(OR(ISBLANK($D99),ISBLANK($K99),ISBLANK(Q99)),"",Ceilings!$V$3*Q99)</f>
        <v/>
      </c>
      <c r="S99" s="72" t="str">
        <f t="shared" si="11"/>
        <v/>
      </c>
    </row>
    <row r="100" spans="1:19" ht="15.75" customHeight="1">
      <c r="A100" s="506"/>
      <c r="B100" s="51" t="str">
        <f>IF(ISBLANK(A100),"",VLOOKUP(A100,Management!$A$11:$C$25,2,0))</f>
        <v/>
      </c>
      <c r="C100" s="433"/>
      <c r="D100" s="421"/>
      <c r="E100" s="433"/>
      <c r="F100" s="434"/>
      <c r="G100" s="95" t="str">
        <f t="shared" si="12"/>
        <v/>
      </c>
      <c r="H100" s="435"/>
      <c r="I100" s="434"/>
      <c r="J100" s="95" t="str">
        <f t="shared" si="13"/>
        <v/>
      </c>
      <c r="K100" s="81"/>
      <c r="L100" s="362"/>
      <c r="M100" s="256" t="str">
        <f t="shared" si="10"/>
        <v/>
      </c>
      <c r="N100" s="184" t="str">
        <f>IF(OR(ISBLANK($D100),ISBLANK($K100),ISBLANK($L100)),"",IF($L100="0–9 km",0,IF(LEFT($D100,15)="Long-term teach",VLOOKUP($K100,Subsistence,2,0)*14+VLOOKUP($K100,Subsistence,3,0)*46+VLOOKUP($K100,Subsistence,4,0)*($F100-60),IF(LEFT($D100,15)="Short-term join",IF($F100&lt;15,Ceilings!$S$3*$F100,Ceilings!$S$3*14+Ceilings!$S$4*($F100-14)),IF(LEFT($D100,15)="Long-term study",VLOOKUP($K100,Subsistence,5,0)*ROUND($F100/30,0),IF($F100&lt;15,Ceilings!$S$6*$F100,Ceilings!$S$6*14+Ceilings!$S$7*($F100-14)))))))</f>
        <v/>
      </c>
      <c r="O100" s="185" t="str">
        <f>IF(OR(ISBLANK(D100),ISBLANK(H100),ISBLANK(K100),ISBLANK(L100)),"",IF(L100="0–9 km",0,IF(I100&lt;15,Ceilings!$S$3*I100,Ceilings!$S$3*14+Ceilings!$S$4*(I100-14))))</f>
        <v/>
      </c>
      <c r="P100" s="183" t="str">
        <f t="shared" si="14"/>
        <v/>
      </c>
      <c r="Q100" s="436"/>
      <c r="R100" s="266" t="str">
        <f>IF(OR(ISBLANK($D100),ISBLANK($K100),ISBLANK(Q100)),"",Ceilings!$V$3*Q100)</f>
        <v/>
      </c>
      <c r="S100" s="72" t="str">
        <f t="shared" si="11"/>
        <v/>
      </c>
    </row>
    <row r="101" spans="1:19" ht="15.75" customHeight="1">
      <c r="A101" s="506"/>
      <c r="B101" s="51" t="str">
        <f>IF(ISBLANK(A101),"",VLOOKUP(A101,Management!$A$11:$C$25,2,0))</f>
        <v/>
      </c>
      <c r="C101" s="433"/>
      <c r="D101" s="421"/>
      <c r="E101" s="433"/>
      <c r="F101" s="434"/>
      <c r="G101" s="95" t="str">
        <f t="shared" si="12"/>
        <v/>
      </c>
      <c r="H101" s="435"/>
      <c r="I101" s="434"/>
      <c r="J101" s="95" t="str">
        <f t="shared" si="13"/>
        <v/>
      </c>
      <c r="K101" s="81"/>
      <c r="L101" s="362"/>
      <c r="M101" s="256" t="str">
        <f t="shared" si="10"/>
        <v/>
      </c>
      <c r="N101" s="184" t="str">
        <f>IF(OR(ISBLANK($D101),ISBLANK($K101),ISBLANK($L101)),"",IF($L101="0–9 km",0,IF(LEFT($D101,15)="Long-term teach",VLOOKUP($K101,Subsistence,2,0)*14+VLOOKUP($K101,Subsistence,3,0)*46+VLOOKUP($K101,Subsistence,4,0)*($F101-60),IF(LEFT($D101,15)="Short-term join",IF($F101&lt;15,Ceilings!$S$3*$F101,Ceilings!$S$3*14+Ceilings!$S$4*($F101-14)),IF(LEFT($D101,15)="Long-term study",VLOOKUP($K101,Subsistence,5,0)*ROUND($F101/30,0),IF($F101&lt;15,Ceilings!$S$6*$F101,Ceilings!$S$6*14+Ceilings!$S$7*($F101-14)))))))</f>
        <v/>
      </c>
      <c r="O101" s="185" t="str">
        <f>IF(OR(ISBLANK(D101),ISBLANK(H101),ISBLANK(K101),ISBLANK(L101)),"",IF(L101="0–9 km",0,IF(I101&lt;15,Ceilings!$S$3*I101,Ceilings!$S$3*14+Ceilings!$S$4*(I101-14))))</f>
        <v/>
      </c>
      <c r="P101" s="183" t="str">
        <f t="shared" si="14"/>
        <v/>
      </c>
      <c r="Q101" s="436"/>
      <c r="R101" s="266" t="str">
        <f>IF(OR(ISBLANK($D101),ISBLANK($K101),ISBLANK(Q101)),"",Ceilings!$V$3*Q101)</f>
        <v/>
      </c>
      <c r="S101" s="72" t="str">
        <f t="shared" si="11"/>
        <v/>
      </c>
    </row>
    <row r="102" spans="1:19" ht="15.75" customHeight="1">
      <c r="A102" s="506"/>
      <c r="B102" s="51" t="str">
        <f>IF(ISBLANK(A102),"",VLOOKUP(A102,Management!$A$11:$C$25,2,0))</f>
        <v/>
      </c>
      <c r="C102" s="433"/>
      <c r="D102" s="421"/>
      <c r="E102" s="433"/>
      <c r="F102" s="434"/>
      <c r="G102" s="95" t="str">
        <f t="shared" si="12"/>
        <v/>
      </c>
      <c r="H102" s="435"/>
      <c r="I102" s="434"/>
      <c r="J102" s="95" t="str">
        <f t="shared" si="13"/>
        <v/>
      </c>
      <c r="K102" s="81"/>
      <c r="L102" s="362"/>
      <c r="M102" s="256" t="str">
        <f t="shared" si="10"/>
        <v/>
      </c>
      <c r="N102" s="184" t="str">
        <f>IF(OR(ISBLANK($D102),ISBLANK($K102),ISBLANK($L102)),"",IF($L102="0–9 km",0,IF(LEFT($D102,15)="Long-term teach",VLOOKUP($K102,Subsistence,2,0)*14+VLOOKUP($K102,Subsistence,3,0)*46+VLOOKUP($K102,Subsistence,4,0)*($F102-60),IF(LEFT($D102,15)="Short-term join",IF($F102&lt;15,Ceilings!$S$3*$F102,Ceilings!$S$3*14+Ceilings!$S$4*($F102-14)),IF(LEFT($D102,15)="Long-term study",VLOOKUP($K102,Subsistence,5,0)*ROUND($F102/30,0),IF($F102&lt;15,Ceilings!$S$6*$F102,Ceilings!$S$6*14+Ceilings!$S$7*($F102-14)))))))</f>
        <v/>
      </c>
      <c r="O102" s="185" t="str">
        <f>IF(OR(ISBLANK(D102),ISBLANK(H102),ISBLANK(K102),ISBLANK(L102)),"",IF(L102="0–9 km",0,IF(I102&lt;15,Ceilings!$S$3*I102,Ceilings!$S$3*14+Ceilings!$S$4*(I102-14))))</f>
        <v/>
      </c>
      <c r="P102" s="183" t="str">
        <f t="shared" si="14"/>
        <v/>
      </c>
      <c r="Q102" s="436"/>
      <c r="R102" s="266" t="str">
        <f>IF(OR(ISBLANK($D102),ISBLANK($K102),ISBLANK(Q102)),"",Ceilings!$V$3*Q102)</f>
        <v/>
      </c>
      <c r="S102" s="72" t="str">
        <f t="shared" si="11"/>
        <v/>
      </c>
    </row>
    <row r="103" spans="1:19" ht="15.75" customHeight="1">
      <c r="A103" s="506"/>
      <c r="B103" s="51" t="str">
        <f>IF(ISBLANK(A103),"",VLOOKUP(A103,Management!$A$11:$C$25,2,0))</f>
        <v/>
      </c>
      <c r="C103" s="433"/>
      <c r="D103" s="421"/>
      <c r="E103" s="433"/>
      <c r="F103" s="434"/>
      <c r="G103" s="95" t="str">
        <f t="shared" si="12"/>
        <v/>
      </c>
      <c r="H103" s="435"/>
      <c r="I103" s="434"/>
      <c r="J103" s="95" t="str">
        <f t="shared" si="13"/>
        <v/>
      </c>
      <c r="K103" s="81"/>
      <c r="L103" s="362"/>
      <c r="M103" s="256" t="str">
        <f>IF(ISBLANK(L103),"",(E103+H103)*VLOOKUP(L103,TravelGrant,2,0))</f>
        <v/>
      </c>
      <c r="N103" s="184" t="str">
        <f>IF(OR(ISBLANK($D103),ISBLANK($K103),ISBLANK($L103)),"",IF($L103="0–9 km",0,IF(LEFT($D103,15)="Long-term teach",VLOOKUP($K103,Subsistence,2,0)*14+VLOOKUP($K103,Subsistence,3,0)*46+VLOOKUP($K103,Subsistence,4,0)*($F103-60),IF(LEFT($D103,15)="Short-term join",IF($F103&lt;15,Ceilings!$S$3*$F103,Ceilings!$S$3*14+Ceilings!$S$4*($F103-14)),IF(LEFT($D103,15)="Long-term study",VLOOKUP($K103,Subsistence,5,0)*ROUND($F103/30,0),IF($F103&lt;15,Ceilings!$S$6*$F103,Ceilings!$S$6*14+Ceilings!$S$7*($F103-14)))))))</f>
        <v/>
      </c>
      <c r="O103" s="185" t="str">
        <f>IF(OR(ISBLANK(D103),ISBLANK(H103),ISBLANK(K103),ISBLANK(L103)),"",IF(L103="0–9 km",0,IF(I103&lt;15,Ceilings!$S$3*I103,Ceilings!$S$3*14+Ceilings!$S$4*(I103-14))))</f>
        <v/>
      </c>
      <c r="P103" s="183" t="str">
        <f t="shared" si="14"/>
        <v/>
      </c>
      <c r="Q103" s="436"/>
      <c r="R103" s="266" t="str">
        <f>IF(OR(ISBLANK($D103),ISBLANK($K103),ISBLANK(Q103)),"",Ceilings!$V$3*Q103)</f>
        <v/>
      </c>
      <c r="S103" s="72" t="str">
        <f t="shared" si="11"/>
        <v/>
      </c>
    </row>
    <row r="104" spans="1:19" ht="15.75" customHeight="1">
      <c r="A104" s="506"/>
      <c r="B104" s="51" t="str">
        <f>IF(ISBLANK(A104),"",VLOOKUP(A104,Management!$A$11:$C$25,2,0))</f>
        <v/>
      </c>
      <c r="C104" s="433"/>
      <c r="D104" s="421"/>
      <c r="E104" s="433"/>
      <c r="F104" s="434"/>
      <c r="G104" s="95" t="str">
        <f t="shared" si="12"/>
        <v/>
      </c>
      <c r="H104" s="435"/>
      <c r="I104" s="434"/>
      <c r="J104" s="95" t="str">
        <f t="shared" si="13"/>
        <v/>
      </c>
      <c r="K104" s="81"/>
      <c r="L104" s="362"/>
      <c r="M104" s="256" t="str">
        <f>IF(ISBLANK(L104),"",(E104+H104)*VLOOKUP(L104,TravelGrant,2,0))</f>
        <v/>
      </c>
      <c r="N104" s="184" t="str">
        <f>IF(OR(ISBLANK($D104),ISBLANK($K104),ISBLANK($L104)),"",IF($L104="0–9 km",0,IF(LEFT($D104,15)="Long-term teach",VLOOKUP($K104,Subsistence,2,0)*14+VLOOKUP($K104,Subsistence,3,0)*46+VLOOKUP($K104,Subsistence,4,0)*($F104-60),IF(LEFT($D104,15)="Short-term join",IF($F104&lt;15,Ceilings!$S$3*$F104,Ceilings!$S$3*14+Ceilings!$S$4*($F104-14)),IF(LEFT($D104,15)="Long-term study",VLOOKUP($K104,Subsistence,5,0)*ROUND($F104/30,0),IF($F104&lt;15,Ceilings!$S$6*$F104,Ceilings!$S$6*14+Ceilings!$S$7*($F104-14)))))))</f>
        <v/>
      </c>
      <c r="O104" s="185" t="str">
        <f>IF(OR(ISBLANK(D104),ISBLANK(H104),ISBLANK(K104),ISBLANK(L104)),"",IF(L104="0–9 km",0,IF(I104&lt;15,Ceilings!$S$3*I104,Ceilings!$S$3*14+Ceilings!$S$4*(I104-14))))</f>
        <v/>
      </c>
      <c r="P104" s="183" t="str">
        <f t="shared" si="14"/>
        <v/>
      </c>
      <c r="Q104" s="436"/>
      <c r="R104" s="266" t="str">
        <f>IF(OR(ISBLANK($D104),ISBLANK($K104),ISBLANK(Q104)),"",Ceilings!$V$3*Q104)</f>
        <v/>
      </c>
      <c r="S104" s="72" t="str">
        <f t="shared" si="11"/>
        <v/>
      </c>
    </row>
    <row r="105" spans="1:19" ht="15.75" customHeight="1">
      <c r="A105" s="506"/>
      <c r="B105" s="51" t="str">
        <f>IF(ISBLANK(A105),"",VLOOKUP(A105,Management!$A$11:$C$25,2,0))</f>
        <v/>
      </c>
      <c r="C105" s="433"/>
      <c r="D105" s="421"/>
      <c r="E105" s="433"/>
      <c r="F105" s="434"/>
      <c r="G105" s="95" t="str">
        <f t="shared" si="12"/>
        <v/>
      </c>
      <c r="H105" s="435"/>
      <c r="I105" s="434"/>
      <c r="J105" s="95" t="str">
        <f t="shared" si="13"/>
        <v/>
      </c>
      <c r="K105" s="81"/>
      <c r="L105" s="362"/>
      <c r="M105" s="256" t="str">
        <f>IF(ISBLANK(L105),"",(E105+H105)*VLOOKUP(L105,TravelGrant,2,0))</f>
        <v/>
      </c>
      <c r="N105" s="184" t="str">
        <f>IF(OR(ISBLANK($D105),ISBLANK($K105),ISBLANK($L105)),"",IF($L105="0–9 km",0,IF(LEFT($D105,15)="Long-term teach",VLOOKUP($K105,Subsistence,2,0)*14+VLOOKUP($K105,Subsistence,3,0)*46+VLOOKUP($K105,Subsistence,4,0)*($F105-60),IF(LEFT($D105,15)="Short-term join",IF($F105&lt;15,Ceilings!$S$3*$F105,Ceilings!$S$3*14+Ceilings!$S$4*($F105-14)),IF(LEFT($D105,15)="Long-term study",VLOOKUP($K105,Subsistence,5,0)*ROUND($F105/30,0),IF($F105&lt;15,Ceilings!$S$6*$F105,Ceilings!$S$6*14+Ceilings!$S$7*($F105-14)))))))</f>
        <v/>
      </c>
      <c r="O105" s="185" t="str">
        <f>IF(OR(ISBLANK(D105),ISBLANK(H105),ISBLANK(K105),ISBLANK(L105)),"",IF(L105="0–9 km",0,IF(I105&lt;15,Ceilings!$S$3*I105,Ceilings!$S$3*14+Ceilings!$S$4*(I105-14))))</f>
        <v/>
      </c>
      <c r="P105" s="183" t="str">
        <f t="shared" si="14"/>
        <v/>
      </c>
      <c r="Q105" s="436"/>
      <c r="R105" s="266" t="str">
        <f>IF(OR(ISBLANK($D105),ISBLANK($K105),ISBLANK(Q105)),"",Ceilings!$V$3*Q105)</f>
        <v/>
      </c>
      <c r="S105" s="72" t="str">
        <f t="shared" si="11"/>
        <v/>
      </c>
    </row>
    <row r="106" spans="1:19" ht="15.75" customHeight="1" thickBot="1">
      <c r="A106" s="507"/>
      <c r="B106" s="52" t="str">
        <f>IF(ISBLANK(A106),"",VLOOKUP(A106,Management!$A$11:$C$25,2,0))</f>
        <v/>
      </c>
      <c r="C106" s="442"/>
      <c r="D106" s="422"/>
      <c r="E106" s="442"/>
      <c r="F106" s="443"/>
      <c r="G106" s="444" t="str">
        <f t="shared" si="12"/>
        <v/>
      </c>
      <c r="H106" s="445"/>
      <c r="I106" s="443"/>
      <c r="J106" s="444" t="str">
        <f t="shared" si="13"/>
        <v/>
      </c>
      <c r="K106" s="446"/>
      <c r="L106" s="447"/>
      <c r="M106" s="448" t="str">
        <f>IF(ISBLANK(L106),"",(E106+H106)*VLOOKUP(L106,TravelGrant,2,0))</f>
        <v/>
      </c>
      <c r="N106" s="449" t="str">
        <f>IF(OR(ISBLANK($D106),ISBLANK($K106),ISBLANK($L106)),"",IF($L106="0–9 km",0,IF(LEFT($D106,15)="Long-term teach",VLOOKUP($K106,Subsistence,2,0)*14+VLOOKUP($K106,Subsistence,3,0)*46+VLOOKUP($K106,Subsistence,4,0)*($F106-60),IF(LEFT($D106,15)="Short-term join",IF($F106&lt;15,Ceilings!$S$3*$F106,Ceilings!$S$3*14+Ceilings!$S$4*($F106-14)),IF(LEFT($D106,15)="Long-term study",VLOOKUP($K106,Subsistence,5,0)*ROUND($F106/30,0),IF($F106&lt;15,Ceilings!$S$6*$F106,Ceilings!$S$6*14+Ceilings!$S$7*($F106-14)))))))</f>
        <v/>
      </c>
      <c r="O106" s="450" t="str">
        <f>IF(OR(ISBLANK(D106),ISBLANK(H106),ISBLANK(K106),ISBLANK(L106)),"",IF(L106="0–9 km",0,IF(I106&lt;15,Ceilings!$S$3*I106,Ceilings!$S$3*14+Ceilings!$S$4*(I106-14))))</f>
        <v/>
      </c>
      <c r="P106" s="451" t="str">
        <f t="shared" si="14"/>
        <v/>
      </c>
      <c r="Q106" s="452"/>
      <c r="R106" s="267" t="str">
        <f>IF(OR(ISBLANK($D106),ISBLANK($K106),ISBLANK(Q106)),"",Ceilings!$V$3*Q106)</f>
        <v/>
      </c>
      <c r="S106" s="76" t="str">
        <f t="shared" si="11"/>
        <v/>
      </c>
    </row>
    <row r="107" spans="1:19">
      <c r="E107" s="41">
        <f>SUM(E7:E106)</f>
        <v>0</v>
      </c>
      <c r="H107" s="41">
        <f>SUM(H7:H106)</f>
        <v>0</v>
      </c>
      <c r="Q107" s="41"/>
    </row>
  </sheetData>
  <sheetProtection password="B516" sheet="1" sort="0" autoFilter="0"/>
  <mergeCells count="18">
    <mergeCell ref="E1:H2"/>
    <mergeCell ref="J1:R1"/>
    <mergeCell ref="B2:C2"/>
    <mergeCell ref="J2:R2"/>
    <mergeCell ref="S4:S5"/>
    <mergeCell ref="F4:G5"/>
    <mergeCell ref="H4:H5"/>
    <mergeCell ref="I4:J5"/>
    <mergeCell ref="K4:K5"/>
    <mergeCell ref="L4:L5"/>
    <mergeCell ref="M4:M5"/>
    <mergeCell ref="N4:P4"/>
    <mergeCell ref="Q4:R4"/>
    <mergeCell ref="A4:A5"/>
    <mergeCell ref="B4:B5"/>
    <mergeCell ref="C4:C5"/>
    <mergeCell ref="D4:D5"/>
    <mergeCell ref="E4:E5"/>
  </mergeCells>
  <phoneticPr fontId="7" type="noConversion"/>
  <conditionalFormatting sqref="Q7 Q77:Q106">
    <cfRule type="expression" dxfId="15" priority="12" stopIfTrue="1">
      <formula>LEFT($D7,4)="Long"</formula>
    </cfRule>
  </conditionalFormatting>
  <conditionalFormatting sqref="K7 K77:K106">
    <cfRule type="expression" priority="6" stopIfTrue="1">
      <formula>ISBLANK(K7)</formula>
    </cfRule>
    <cfRule type="expression" priority="7" stopIfTrue="1">
      <formula>LEFT($D7,16)="Short term joint"</formula>
    </cfRule>
    <cfRule type="cellIs" dxfId="14" priority="8" stopIfTrue="1" operator="equal">
      <formula>$B7</formula>
    </cfRule>
  </conditionalFormatting>
  <conditionalFormatting sqref="Q8:Q76">
    <cfRule type="expression" dxfId="13" priority="4" stopIfTrue="1">
      <formula>LEFT($D8,4)="Long"</formula>
    </cfRule>
  </conditionalFormatting>
  <conditionalFormatting sqref="K8:K76">
    <cfRule type="expression" priority="1" stopIfTrue="1">
      <formula>ISBLANK(K8)</formula>
    </cfRule>
    <cfRule type="expression" priority="2" stopIfTrue="1">
      <formula>LEFT($D8,16)="Short term joint"</formula>
    </cfRule>
    <cfRule type="cellIs" dxfId="12" priority="3" stopIfTrue="1" operator="equal">
      <formula>$B8</formula>
    </cfRule>
  </conditionalFormatting>
  <dataValidations count="8">
    <dataValidation type="custom" showInputMessage="1" showErrorMessage="1" sqref="Q7:Q106">
      <formula1>LEFT($D7,4)="Long"</formula1>
    </dataValidation>
    <dataValidation type="custom" allowBlank="1" showInputMessage="1" showErrorMessage="1" error="It is not possible greater than for participants." sqref="I7:I106">
      <formula1>I7&lt;=F7</formula1>
    </dataValidation>
    <dataValidation type="list" allowBlank="1" showInputMessage="1" showErrorMessage="1" sqref="K7:K106">
      <formula1>CountriesofPs</formula1>
    </dataValidation>
    <dataValidation type="list" allowBlank="1" showInputMessage="1" showErrorMessage="1" sqref="A7:A106">
      <formula1>Partners</formula1>
    </dataValidation>
    <dataValidation type="list" allowBlank="1" showInputMessage="1" showErrorMessage="1" sqref="D7:D106">
      <formula1>IF(ISNA(MATCH(B7,PCountries,0)),Activity_t,S_Activity_t)</formula1>
    </dataValidation>
    <dataValidation type="list" allowBlank="1" showInputMessage="1" showErrorMessage="1" sqref="L7:L106">
      <formula1>Distances</formula1>
    </dataValidation>
    <dataValidation allowBlank="1" error="Long-term teaching or training assignments &lt; 367 days, otherwise between 5 and 60 days." sqref="G7:G106 J7:J106"/>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s>
  <printOptions horizontalCentered="1"/>
  <pageMargins left="0.7" right="0.7" top="0.75" bottom="0.75" header="0.3" footer="0.3"/>
  <pageSetup paperSize="9" scale="54" fitToHeight="4" orientation="landscape" r:id="rId1"/>
  <headerFooter scaleWithDoc="0">
    <oddHeader>&amp;C&amp;11 2020 - C2  E+ KA226 - HED&amp;RVersion: 2020.09.08. - TKA</oddHeader>
    <oddFooter>&amp;C&amp;"Arial,Félkövér"&amp;A</oddFooter>
  </headerFooter>
  <legacyDrawing r:id="rId2"/>
  <extLst>
    <ext xmlns:x14="http://schemas.microsoft.com/office/spreadsheetml/2009/9/main" uri="{78C0D931-6437-407d-A8EE-F0AAD7539E65}">
      <x14:conditionalFormattings>
        <x14:conditionalFormatting xmlns:xm="http://schemas.microsoft.com/office/excel/2006/main">
          <x14:cfRule type="expression" priority="13" stopIfTrue="1" id="{ED3B417E-F23C-4E2E-8216-446B39DBFD15}">
            <xm:f>MATCH($D7,Ceilings!$J$43:$J$45,0)&gt;0</xm:f>
            <x14:dxf>
              <fill>
                <patternFill patternType="solid">
                  <bgColor theme="0"/>
                </patternFill>
              </fill>
            </x14:dxf>
          </x14:cfRule>
          <xm:sqref>H7 H77:H106</xm:sqref>
        </x14:conditionalFormatting>
        <x14:conditionalFormatting xmlns:xm="http://schemas.microsoft.com/office/excel/2006/main">
          <x14:cfRule type="expression" priority="5" stopIfTrue="1" id="{23DA9B5E-D473-4E46-A967-981D06EF43A5}">
            <xm:f>MATCH($D8,Ceilings!$J$43:$J$45,0)&gt;0</xm:f>
            <x14:dxf>
              <fill>
                <patternFill patternType="solid">
                  <bgColor theme="0"/>
                </patternFill>
              </fill>
            </x14:dxf>
          </x14:cfRule>
          <xm:sqref>H8:H76</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x14:formula1>
            <xm:f>MATCH($D7,Ceilings!$J$43:$J$45,0)&gt;0</xm:f>
          </x14:formula1>
          <xm:sqref>H7:H106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X107"/>
  <sheetViews>
    <sheetView zoomScale="85" zoomScaleNormal="85" zoomScalePageLayoutView="78" workbookViewId="0">
      <selection activeCell="L15" sqref="L15"/>
    </sheetView>
  </sheetViews>
  <sheetFormatPr defaultColWidth="8.85546875" defaultRowHeight="12.75"/>
  <cols>
    <col min="1" max="1" width="38.42578125" style="53" customWidth="1"/>
    <col min="2" max="2" width="20.42578125" style="54" customWidth="1"/>
    <col min="3" max="3" width="6.85546875" style="41" bestFit="1" customWidth="1"/>
    <col min="4" max="4" width="38" style="55" customWidth="1"/>
    <col min="5" max="5" width="10.42578125" style="41" bestFit="1" customWidth="1"/>
    <col min="6" max="6" width="5.28515625" style="41" customWidth="1"/>
    <col min="7" max="7" width="5" style="41" bestFit="1" customWidth="1"/>
    <col min="8" max="8" width="10.42578125" style="41" customWidth="1"/>
    <col min="9" max="9" width="5.28515625" style="41" customWidth="1"/>
    <col min="10" max="10" width="5.85546875" style="41" customWidth="1"/>
    <col min="11" max="11" width="8.42578125" style="49" customWidth="1"/>
    <col min="12" max="12" width="17.28515625" style="56" bestFit="1" customWidth="1"/>
    <col min="13" max="13" width="10" style="42" bestFit="1" customWidth="1"/>
    <col min="14" max="15" width="10.7109375" style="42" customWidth="1"/>
    <col min="16" max="16" width="10.42578125" style="42" bestFit="1" customWidth="1"/>
    <col min="17" max="17" width="10.140625" style="42" bestFit="1" customWidth="1"/>
    <col min="18" max="18" width="9.140625" style="42" bestFit="1" customWidth="1"/>
    <col min="19" max="19" width="11.42578125" style="42" bestFit="1" customWidth="1"/>
    <col min="20" max="16384" width="8.85546875" style="49"/>
  </cols>
  <sheetData>
    <row r="1" spans="1:258" s="367" customFormat="1" ht="15.75">
      <c r="A1" s="142" t="s">
        <v>389</v>
      </c>
      <c r="B1" s="143"/>
      <c r="C1" s="365"/>
      <c r="D1" s="366"/>
      <c r="E1" s="611" t="s">
        <v>468</v>
      </c>
      <c r="F1" s="612"/>
      <c r="G1" s="612"/>
      <c r="H1" s="613"/>
      <c r="J1" s="617" t="s">
        <v>398</v>
      </c>
      <c r="K1" s="618"/>
      <c r="L1" s="618"/>
      <c r="M1" s="618"/>
      <c r="N1" s="618"/>
      <c r="O1" s="618"/>
      <c r="P1" s="618"/>
      <c r="Q1" s="618"/>
      <c r="R1" s="61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610" t="s">
        <v>453</v>
      </c>
      <c r="C2" s="610"/>
      <c r="E2" s="614"/>
      <c r="F2" s="615"/>
      <c r="G2" s="615"/>
      <c r="H2" s="616"/>
      <c r="J2" s="620"/>
      <c r="K2" s="621"/>
      <c r="L2" s="621"/>
      <c r="M2" s="621"/>
      <c r="N2" s="621"/>
      <c r="O2" s="621"/>
      <c r="P2" s="621"/>
      <c r="Q2" s="621"/>
      <c r="R2" s="622"/>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00" t="s">
        <v>143</v>
      </c>
      <c r="E4" s="571" t="s">
        <v>381</v>
      </c>
      <c r="F4" s="606" t="s">
        <v>402</v>
      </c>
      <c r="G4" s="607"/>
      <c r="H4" s="571" t="s">
        <v>380</v>
      </c>
      <c r="I4" s="602" t="s">
        <v>403</v>
      </c>
      <c r="J4" s="603"/>
      <c r="K4" s="594" t="s">
        <v>448</v>
      </c>
      <c r="L4" s="592" t="s">
        <v>120</v>
      </c>
      <c r="M4" s="590" t="s">
        <v>145</v>
      </c>
      <c r="N4" s="598" t="s">
        <v>328</v>
      </c>
      <c r="O4" s="599"/>
      <c r="P4" s="590"/>
      <c r="Q4" s="596" t="s">
        <v>326</v>
      </c>
      <c r="R4" s="597"/>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26.25" thickBot="1">
      <c r="A5" s="566"/>
      <c r="B5" s="568"/>
      <c r="C5" s="572"/>
      <c r="D5" s="601"/>
      <c r="E5" s="572"/>
      <c r="F5" s="608"/>
      <c r="G5" s="609"/>
      <c r="H5" s="572"/>
      <c r="I5" s="604"/>
      <c r="J5" s="605"/>
      <c r="K5" s="595"/>
      <c r="L5" s="593"/>
      <c r="M5" s="591"/>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157"/>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c r="C7" s="429"/>
      <c r="D7" s="57"/>
      <c r="E7" s="429"/>
      <c r="F7" s="430"/>
      <c r="G7" s="94"/>
      <c r="H7" s="431"/>
      <c r="I7" s="430"/>
      <c r="J7" s="94" t="str">
        <f>IF(ISBLANK($D7),"","days")</f>
        <v/>
      </c>
      <c r="K7" s="80"/>
      <c r="L7" s="361"/>
      <c r="M7" s="252"/>
      <c r="N7" s="181" t="str">
        <f>IF(OR(ISBLANK($D7),ISBLANK($K7),ISBLANK($L7)),"",IF($L7="0–9 km",0,IF(LEFT($D7,18)="Short-term blended",IF($F7&lt;15,Ceilings!$S$6*$F7,Ceilings!$S$6*14+Ceilings!$S$7*($F7-14)),IF(LEFT($D7,18)="Short-term joint s",IF($F7&lt;15,Ceilings!$S$3*$F7,Ceilings!$S$3*14+Ceilings!$S$4*($F7-14)),VLOOKUP($K7,Subsistence,2,0)*14+VLOOKUP($K7,Subsistence,3,0)*46+VLOOKUP($K7,Subsistence,4,0)*($F7-60)))))</f>
        <v/>
      </c>
      <c r="O7" s="182" t="str">
        <f>IF(OR(ISBLANK(D7),ISBLANK(H7),ISBLANK(K7),ISBLANK(L7)),"",IF(L7="0–9 km",0,IF(I7&lt;15,Ceilings!$S$3*I7,Ceilings!$S$3*14+Ceilings!$S$4*(I7-14))))</f>
        <v/>
      </c>
      <c r="P7" s="180" t="str">
        <f>IF(N7="","",$E7*N7+IF(O7="",0,$H7*O7))</f>
        <v/>
      </c>
      <c r="Q7" s="432"/>
      <c r="R7" s="265" t="str">
        <f>IF(OR(ISBLANK($D7),ISBLANK($K7),ISBLANK(Q7)),"",Ceilings!$V$3*Q7)</f>
        <v/>
      </c>
      <c r="S7" s="174"/>
    </row>
    <row r="8" spans="1:258" ht="15.75" customHeight="1">
      <c r="A8" s="506"/>
      <c r="B8" s="51" t="str">
        <f>IF(ISBLANK(A8),"",VLOOKUP(A8,Management!$A$11:$C$25,2,0))</f>
        <v/>
      </c>
      <c r="C8" s="433"/>
      <c r="D8" s="421"/>
      <c r="E8" s="433"/>
      <c r="F8" s="434"/>
      <c r="G8" s="95" t="str">
        <f t="shared" ref="G8:G53" si="0">IF(ISBLANK($D8),"","days")</f>
        <v/>
      </c>
      <c r="H8" s="435"/>
      <c r="I8" s="434"/>
      <c r="J8" s="95" t="str">
        <f t="shared" ref="J8:J53" si="1">IF(ISBLANK($D8),"","days")</f>
        <v/>
      </c>
      <c r="K8" s="81"/>
      <c r="L8" s="362"/>
      <c r="M8" s="256" t="str">
        <f t="shared" ref="M8:M38" si="2">IF(ISBLANK(L8),"",(E8+H8)*VLOOKUP(L8,TravelGrant,2,0))</f>
        <v/>
      </c>
      <c r="N8" s="184" t="str">
        <f>IF(OR(ISBLANK($D8),ISBLANK($K8),ISBLANK($L8)),"",IF($L8="0–9 km",0,IF(LEFT($D8,18)="Short-term blended",IF($F8&lt;15,Ceilings!$S$6*$F8,Ceilings!$S$6*14+Ceilings!$S$7*($F8-14)),IF(LEFT($D8,18)="Short-term joint s",IF($F8&lt;15,Ceilings!$S$3*$F8,Ceilings!$S$3*14+Ceilings!$S$4*($F8-14)),VLOOKUP($K8,Subsistence,2,0)*14+VLOOKUP($K8,Subsistence,3,0)*46+VLOOKUP($K8,Subsistence,4,0)*($F8-60)))))</f>
        <v/>
      </c>
      <c r="O8" s="185" t="str">
        <f>IF(OR(ISBLANK(D8),ISBLANK(H8),ISBLANK(K8),ISBLANK(L8)),"",IF(L8="0–9 km",0,IF(I8&lt;15,Ceilings!$S$3*I8,Ceilings!$S$3*14+Ceilings!$S$4*(I8-14))))</f>
        <v/>
      </c>
      <c r="P8" s="183" t="str">
        <f t="shared" ref="P8:P53" si="3">IF(N8="","",$E8*N8+IF(O8="",0,$H8*O8))</f>
        <v/>
      </c>
      <c r="Q8" s="436"/>
      <c r="R8" s="266" t="str">
        <f>IF(OR(ISBLANK($D8),ISBLANK($K8),ISBLANK(Q8)),"",Ceilings!$V$3*Q8)</f>
        <v/>
      </c>
      <c r="S8" s="72" t="str">
        <f t="shared" ref="S8:S38" si="4">IF(ISBLANK($A8),"",IF(OR(ISBLANK($C8),ISBLANK($D8),ISBLANK($E8),ISBLANK($K8)),"Missing data",SUM($M8,$P8,$R8)))</f>
        <v/>
      </c>
    </row>
    <row r="9" spans="1:258" ht="15.75" customHeight="1">
      <c r="A9" s="506"/>
      <c r="B9" s="51" t="str">
        <f>IF(ISBLANK(A9),"",VLOOKUP(A9,Management!$A$11:$C$25,2,0))</f>
        <v/>
      </c>
      <c r="C9" s="437"/>
      <c r="D9" s="58"/>
      <c r="E9" s="437"/>
      <c r="F9" s="434"/>
      <c r="G9" s="95" t="str">
        <f t="shared" si="0"/>
        <v/>
      </c>
      <c r="H9" s="435"/>
      <c r="I9" s="434"/>
      <c r="J9" s="95" t="str">
        <f t="shared" si="1"/>
        <v/>
      </c>
      <c r="K9" s="81"/>
      <c r="L9" s="362"/>
      <c r="M9" s="256" t="str">
        <f t="shared" si="2"/>
        <v/>
      </c>
      <c r="N9" s="184" t="str">
        <f>IF(OR(ISBLANK($D9),ISBLANK($K9),ISBLANK($L9)),"",IF($L9="0–9 km",0,IF(LEFT($D9,18)="Short-term blended",IF($F9&lt;15,Ceilings!$S$6*$F9,Ceilings!$S$6*14+Ceilings!$S$7*($F9-14)),IF(LEFT($D9,18)="Short-term joint s",IF($F9&lt;15,Ceilings!$S$3*$F9,Ceilings!$S$3*14+Ceilings!$S$4*($F9-14)),VLOOKUP($K9,Subsistence,2,0)*14+VLOOKUP($K9,Subsistence,3,0)*46+VLOOKUP($K9,Subsistence,4,0)*($F9-60)))))</f>
        <v/>
      </c>
      <c r="O9" s="185" t="str">
        <f>IF(OR(ISBLANK(D9),ISBLANK(H9),ISBLANK(K9),ISBLANK(L9)),"",IF(L9="0–9 km",0,IF(I9&lt;15,Ceilings!$S$3*I9,Ceilings!$S$3*14+Ceilings!$S$4*(I9-14))))</f>
        <v/>
      </c>
      <c r="P9" s="183" t="str">
        <f t="shared" si="3"/>
        <v/>
      </c>
      <c r="Q9" s="436"/>
      <c r="R9" s="266" t="str">
        <f>IF(OR(ISBLANK($D9),ISBLANK($K9),ISBLANK(Q9)),"",Ceilings!$V$3*Q9)</f>
        <v/>
      </c>
      <c r="S9" s="72" t="str">
        <f t="shared" si="4"/>
        <v/>
      </c>
    </row>
    <row r="10" spans="1:258" ht="15.75" customHeight="1">
      <c r="A10" s="506"/>
      <c r="B10" s="51" t="str">
        <f>IF(ISBLANK(A10),"",VLOOKUP(A10,Management!$A$11:$C$25,2,0))</f>
        <v/>
      </c>
      <c r="C10" s="437"/>
      <c r="D10" s="58"/>
      <c r="E10" s="437"/>
      <c r="F10" s="434"/>
      <c r="G10" s="95" t="str">
        <f t="shared" si="0"/>
        <v/>
      </c>
      <c r="H10" s="435"/>
      <c r="I10" s="434"/>
      <c r="J10" s="95" t="str">
        <f t="shared" si="1"/>
        <v/>
      </c>
      <c r="K10" s="81"/>
      <c r="L10" s="362"/>
      <c r="M10" s="256" t="str">
        <f t="shared" si="2"/>
        <v/>
      </c>
      <c r="N10" s="184" t="str">
        <f>IF(OR(ISBLANK($D10),ISBLANK($K10),ISBLANK($L10)),"",IF($L10="0–9 km",0,IF(LEFT($D10,18)="Short-term blended",IF($F10&lt;15,Ceilings!$S$6*$F10,Ceilings!$S$6*14+Ceilings!$S$7*($F10-14)),IF(LEFT($D10,18)="Short-term joint s",IF($F10&lt;15,Ceilings!$S$3*$F10,Ceilings!$S$3*14+Ceilings!$S$4*($F10-14)),VLOOKUP($K10,Subsistence,2,0)*14+VLOOKUP($K10,Subsistence,3,0)*46+VLOOKUP($K10,Subsistence,4,0)*($F10-60)))))</f>
        <v/>
      </c>
      <c r="O10" s="185" t="str">
        <f>IF(OR(ISBLANK(D10),ISBLANK(H10),ISBLANK(K10),ISBLANK(L10)),"",IF(L10="0–9 km",0,IF(I10&lt;15,Ceilings!$S$3*I10,Ceilings!$S$3*14+Ceilings!$S$4*(I10-14))))</f>
        <v/>
      </c>
      <c r="P10" s="183" t="str">
        <f t="shared" si="3"/>
        <v/>
      </c>
      <c r="Q10" s="436"/>
      <c r="R10" s="266" t="str">
        <f>IF(OR(ISBLANK($D10),ISBLANK($K10),ISBLANK(Q10)),"",Ceilings!$V$3*Q10)</f>
        <v/>
      </c>
      <c r="S10" s="72" t="str">
        <f t="shared" si="4"/>
        <v/>
      </c>
    </row>
    <row r="11" spans="1:258" ht="15.75" customHeight="1">
      <c r="A11" s="506"/>
      <c r="B11" s="51" t="str">
        <f>IF(ISBLANK(A11),"",VLOOKUP(A11,Management!$A$11:$C$25,2,0))</f>
        <v/>
      </c>
      <c r="C11" s="437"/>
      <c r="D11" s="58"/>
      <c r="E11" s="437"/>
      <c r="F11" s="434"/>
      <c r="G11" s="95" t="str">
        <f t="shared" si="0"/>
        <v/>
      </c>
      <c r="H11" s="435"/>
      <c r="I11" s="434"/>
      <c r="J11" s="95" t="str">
        <f t="shared" si="1"/>
        <v/>
      </c>
      <c r="K11" s="81"/>
      <c r="L11" s="362"/>
      <c r="M11" s="256" t="str">
        <f t="shared" si="2"/>
        <v/>
      </c>
      <c r="N11" s="184" t="str">
        <f>IF(OR(ISBLANK($D11),ISBLANK($K11),ISBLANK($L11)),"",IF($L11="0–9 km",0,IF(LEFT($D11,18)="Short-term blended",IF($F11&lt;15,Ceilings!$S$6*$F11,Ceilings!$S$6*14+Ceilings!$S$7*($F11-14)),IF(LEFT($D11,18)="Short-term joint s",IF($F11&lt;15,Ceilings!$S$3*$F11,Ceilings!$S$3*14+Ceilings!$S$4*($F11-14)),VLOOKUP($K11,Subsistence,2,0)*14+VLOOKUP($K11,Subsistence,3,0)*46+VLOOKUP($K11,Subsistence,4,0)*($F11-60)))))</f>
        <v/>
      </c>
      <c r="O11" s="185" t="str">
        <f>IF(OR(ISBLANK(D11),ISBLANK(H11),ISBLANK(K11),ISBLANK(L11)),"",IF(L11="0–9 km",0,IF(I11&lt;15,Ceilings!$S$3*I11,Ceilings!$S$3*14+Ceilings!$S$4*(I11-14))))</f>
        <v/>
      </c>
      <c r="P11" s="183" t="str">
        <f t="shared" si="3"/>
        <v/>
      </c>
      <c r="Q11" s="436"/>
      <c r="R11" s="266" t="str">
        <f>IF(OR(ISBLANK($D11),ISBLANK($K11),ISBLANK(Q11)),"",Ceilings!$V$3*Q11)</f>
        <v/>
      </c>
      <c r="S11" s="72" t="str">
        <f t="shared" si="4"/>
        <v/>
      </c>
    </row>
    <row r="12" spans="1:258" ht="15.75" customHeight="1">
      <c r="A12" s="506"/>
      <c r="B12" s="51" t="str">
        <f>IF(ISBLANK(A12),"",VLOOKUP(A12,Management!$A$11:$C$25,2,0))</f>
        <v/>
      </c>
      <c r="C12" s="437"/>
      <c r="D12" s="58"/>
      <c r="E12" s="437"/>
      <c r="F12" s="434"/>
      <c r="G12" s="95" t="str">
        <f t="shared" si="0"/>
        <v/>
      </c>
      <c r="H12" s="435"/>
      <c r="I12" s="434"/>
      <c r="J12" s="95" t="str">
        <f t="shared" si="1"/>
        <v/>
      </c>
      <c r="K12" s="81"/>
      <c r="L12" s="362"/>
      <c r="M12" s="256" t="str">
        <f t="shared" si="2"/>
        <v/>
      </c>
      <c r="N12" s="184" t="str">
        <f>IF(OR(ISBLANK($D12),ISBLANK($K12),ISBLANK($L12)),"",IF($L12="0–9 km",0,IF(LEFT($D12,18)="Short-term blended",IF($F12&lt;15,Ceilings!$S$6*$F12,Ceilings!$S$6*14+Ceilings!$S$7*($F12-14)),IF(LEFT($D12,18)="Short-term joint s",IF($F12&lt;15,Ceilings!$S$3*$F12,Ceilings!$S$3*14+Ceilings!$S$4*($F12-14)),VLOOKUP($K12,Subsistence,2,0)*14+VLOOKUP($K12,Subsistence,3,0)*46+VLOOKUP($K12,Subsistence,4,0)*($F12-60)))))</f>
        <v/>
      </c>
      <c r="O12" s="185" t="str">
        <f>IF(OR(ISBLANK(D12),ISBLANK(H12),ISBLANK(K12),ISBLANK(L12)),"",IF(L12="0–9 km",0,IF(I12&lt;15,Ceilings!$S$3*I12,Ceilings!$S$3*14+Ceilings!$S$4*(I12-14))))</f>
        <v/>
      </c>
      <c r="P12" s="183" t="str">
        <f t="shared" si="3"/>
        <v/>
      </c>
      <c r="Q12" s="436"/>
      <c r="R12" s="266" t="str">
        <f>IF(OR(ISBLANK($D12),ISBLANK($K12),ISBLANK(Q12)),"",Ceilings!$V$3*Q12)</f>
        <v/>
      </c>
      <c r="S12" s="72" t="str">
        <f t="shared" si="4"/>
        <v/>
      </c>
    </row>
    <row r="13" spans="1:258" ht="15.75" customHeight="1">
      <c r="A13" s="506"/>
      <c r="B13" s="51" t="str">
        <f>IF(ISBLANK(A13),"",VLOOKUP(A13,Management!$A$11:$C$25,2,0))</f>
        <v/>
      </c>
      <c r="C13" s="437"/>
      <c r="D13" s="58"/>
      <c r="E13" s="437"/>
      <c r="F13" s="434"/>
      <c r="G13" s="95" t="str">
        <f t="shared" si="0"/>
        <v/>
      </c>
      <c r="H13" s="435"/>
      <c r="I13" s="434"/>
      <c r="J13" s="95" t="str">
        <f t="shared" si="1"/>
        <v/>
      </c>
      <c r="K13" s="81"/>
      <c r="L13" s="362"/>
      <c r="M13" s="256" t="str">
        <f t="shared" si="2"/>
        <v/>
      </c>
      <c r="N13" s="184" t="str">
        <f>IF(OR(ISBLANK($D13),ISBLANK($K13),ISBLANK($L13)),"",IF($L13="0–9 km",0,IF(LEFT($D13,18)="Short-term blended",IF($F13&lt;15,Ceilings!$S$6*$F13,Ceilings!$S$6*14+Ceilings!$S$7*($F13-14)),IF(LEFT($D13,18)="Short-term joint s",IF($F13&lt;15,Ceilings!$S$3*$F13,Ceilings!$S$3*14+Ceilings!$S$4*($F13-14)),VLOOKUP($K13,Subsistence,2,0)*14+VLOOKUP($K13,Subsistence,3,0)*46+VLOOKUP($K13,Subsistence,4,0)*($F13-60)))))</f>
        <v/>
      </c>
      <c r="O13" s="185" t="str">
        <f>IF(OR(ISBLANK(D13),ISBLANK(H13),ISBLANK(K13),ISBLANK(L13)),"",IF(L13="0–9 km",0,IF(I13&lt;15,Ceilings!$S$3*I13,Ceilings!$S$3*14+Ceilings!$S$4*(I13-14))))</f>
        <v/>
      </c>
      <c r="P13" s="183" t="str">
        <f t="shared" si="3"/>
        <v/>
      </c>
      <c r="Q13" s="436"/>
      <c r="R13" s="266" t="str">
        <f>IF(OR(ISBLANK($D13),ISBLANK($K13),ISBLANK(Q13)),"",Ceilings!$V$3*Q13)</f>
        <v/>
      </c>
      <c r="S13" s="72" t="str">
        <f t="shared" si="4"/>
        <v/>
      </c>
    </row>
    <row r="14" spans="1:258" ht="15.75" customHeight="1">
      <c r="A14" s="506"/>
      <c r="B14" s="51" t="str">
        <f>IF(ISBLANK(A14),"",VLOOKUP(A14,Management!$A$11:$C$25,2,0))</f>
        <v/>
      </c>
      <c r="C14" s="437"/>
      <c r="D14" s="58"/>
      <c r="E14" s="437"/>
      <c r="F14" s="434"/>
      <c r="G14" s="95" t="str">
        <f t="shared" si="0"/>
        <v/>
      </c>
      <c r="H14" s="435"/>
      <c r="I14" s="434"/>
      <c r="J14" s="95" t="str">
        <f t="shared" si="1"/>
        <v/>
      </c>
      <c r="K14" s="81"/>
      <c r="L14" s="362"/>
      <c r="M14" s="256" t="str">
        <f t="shared" si="2"/>
        <v/>
      </c>
      <c r="N14" s="184" t="str">
        <f>IF(OR(ISBLANK($D14),ISBLANK($K14),ISBLANK($L14)),"",IF($L14="0–9 km",0,IF(LEFT($D14,18)="Short-term blended",IF($F14&lt;15,Ceilings!$S$6*$F14,Ceilings!$S$6*14+Ceilings!$S$7*($F14-14)),IF(LEFT($D14,18)="Short-term joint s",IF($F14&lt;15,Ceilings!$S$3*$F14,Ceilings!$S$3*14+Ceilings!$S$4*($F14-14)),VLOOKUP($K14,Subsistence,2,0)*14+VLOOKUP($K14,Subsistence,3,0)*46+VLOOKUP($K14,Subsistence,4,0)*($F14-60)))))</f>
        <v/>
      </c>
      <c r="O14" s="185" t="str">
        <f>IF(OR(ISBLANK(D14),ISBLANK(H14),ISBLANK(K14),ISBLANK(L14)),"",IF(L14="0–9 km",0,IF(I14&lt;15,Ceilings!$S$3*I14,Ceilings!$S$3*14+Ceilings!$S$4*(I14-14))))</f>
        <v/>
      </c>
      <c r="P14" s="183" t="str">
        <f t="shared" si="3"/>
        <v/>
      </c>
      <c r="Q14" s="436"/>
      <c r="R14" s="266" t="str">
        <f>IF(OR(ISBLANK($D14),ISBLANK($K14),ISBLANK(Q14)),"",Ceilings!$V$3*Q14)</f>
        <v/>
      </c>
      <c r="S14" s="72" t="str">
        <f t="shared" si="4"/>
        <v/>
      </c>
    </row>
    <row r="15" spans="1:258" ht="15.75" customHeight="1">
      <c r="A15" s="506"/>
      <c r="B15" s="51" t="str">
        <f>IF(ISBLANK(A15),"",VLOOKUP(A15,Management!$A$11:$C$25,2,0))</f>
        <v/>
      </c>
      <c r="C15" s="437"/>
      <c r="D15" s="58"/>
      <c r="E15" s="437"/>
      <c r="F15" s="434"/>
      <c r="G15" s="95" t="str">
        <f t="shared" si="0"/>
        <v/>
      </c>
      <c r="H15" s="435"/>
      <c r="I15" s="434"/>
      <c r="J15" s="95" t="str">
        <f t="shared" si="1"/>
        <v/>
      </c>
      <c r="K15" s="81"/>
      <c r="L15" s="362"/>
      <c r="M15" s="256" t="str">
        <f t="shared" si="2"/>
        <v/>
      </c>
      <c r="N15" s="184" t="str">
        <f>IF(OR(ISBLANK($D15),ISBLANK($K15),ISBLANK($L15)),"",IF($L15="0–9 km",0,IF(LEFT($D15,18)="Short-term blended",IF($F15&lt;15,Ceilings!$S$6*$F15,Ceilings!$S$6*14+Ceilings!$S$7*($F15-14)),IF(LEFT($D15,18)="Short-term joint s",IF($F15&lt;15,Ceilings!$S$3*$F15,Ceilings!$S$3*14+Ceilings!$S$4*($F15-14)),VLOOKUP($K15,Subsistence,2,0)*14+VLOOKUP($K15,Subsistence,3,0)*46+VLOOKUP($K15,Subsistence,4,0)*($F15-60)))))</f>
        <v/>
      </c>
      <c r="O15" s="185" t="str">
        <f>IF(OR(ISBLANK(D15),ISBLANK(H15),ISBLANK(K15),ISBLANK(L15)),"",IF(L15="0–9 km",0,IF(I15&lt;15,Ceilings!$S$3*I15,Ceilings!$S$3*14+Ceilings!$S$4*(I15-14))))</f>
        <v/>
      </c>
      <c r="P15" s="183" t="str">
        <f t="shared" si="3"/>
        <v/>
      </c>
      <c r="Q15" s="436"/>
      <c r="R15" s="266" t="str">
        <f>IF(OR(ISBLANK($D15),ISBLANK($K15),ISBLANK(Q15)),"",Ceilings!$V$3*Q15)</f>
        <v/>
      </c>
      <c r="S15" s="72" t="str">
        <f t="shared" si="4"/>
        <v/>
      </c>
    </row>
    <row r="16" spans="1:258" ht="15.75" customHeight="1">
      <c r="A16" s="506"/>
      <c r="B16" s="51" t="str">
        <f>IF(ISBLANK(A16),"",VLOOKUP(A16,Management!$A$11:$C$25,2,0))</f>
        <v/>
      </c>
      <c r="C16" s="437"/>
      <c r="D16" s="58"/>
      <c r="E16" s="437"/>
      <c r="F16" s="434"/>
      <c r="G16" s="95" t="str">
        <f t="shared" si="0"/>
        <v/>
      </c>
      <c r="H16" s="435"/>
      <c r="I16" s="434"/>
      <c r="J16" s="95" t="str">
        <f t="shared" si="1"/>
        <v/>
      </c>
      <c r="K16" s="81"/>
      <c r="L16" s="362"/>
      <c r="M16" s="256" t="str">
        <f t="shared" si="2"/>
        <v/>
      </c>
      <c r="N16" s="184" t="str">
        <f>IF(OR(ISBLANK($D16),ISBLANK($K16),ISBLANK($L16)),"",IF($L16="0–9 km",0,IF(LEFT($D16,18)="Short-term blended",IF($F16&lt;15,Ceilings!$S$6*$F16,Ceilings!$S$6*14+Ceilings!$S$7*($F16-14)),IF(LEFT($D16,18)="Short-term joint s",IF($F16&lt;15,Ceilings!$S$3*$F16,Ceilings!$S$3*14+Ceilings!$S$4*($F16-14)),VLOOKUP($K16,Subsistence,2,0)*14+VLOOKUP($K16,Subsistence,3,0)*46+VLOOKUP($K16,Subsistence,4,0)*($F16-60)))))</f>
        <v/>
      </c>
      <c r="O16" s="185" t="str">
        <f>IF(OR(ISBLANK(D16),ISBLANK(H16),ISBLANK(K16),ISBLANK(L16)),"",IF(L16="0–9 km",0,IF(I16&lt;15,Ceilings!$S$3*I16,Ceilings!$S$3*14+Ceilings!$S$4*(I16-14))))</f>
        <v/>
      </c>
      <c r="P16" s="183" t="str">
        <f t="shared" si="3"/>
        <v/>
      </c>
      <c r="Q16" s="436"/>
      <c r="R16" s="266" t="str">
        <f>IF(OR(ISBLANK($D16),ISBLANK($K16),ISBLANK(Q16)),"",Ceilings!$V$3*Q16)</f>
        <v/>
      </c>
      <c r="S16" s="72" t="str">
        <f t="shared" si="4"/>
        <v/>
      </c>
    </row>
    <row r="17" spans="1:19" ht="15.75" customHeight="1">
      <c r="A17" s="506"/>
      <c r="B17" s="51" t="str">
        <f>IF(ISBLANK(A17),"",VLOOKUP(A17,Management!$A$11:$C$25,2,0))</f>
        <v/>
      </c>
      <c r="C17" s="437"/>
      <c r="D17" s="58"/>
      <c r="E17" s="437"/>
      <c r="F17" s="434"/>
      <c r="G17" s="95" t="str">
        <f t="shared" si="0"/>
        <v/>
      </c>
      <c r="H17" s="435"/>
      <c r="I17" s="434"/>
      <c r="J17" s="95" t="str">
        <f t="shared" si="1"/>
        <v/>
      </c>
      <c r="K17" s="81"/>
      <c r="L17" s="362"/>
      <c r="M17" s="256" t="str">
        <f t="shared" si="2"/>
        <v/>
      </c>
      <c r="N17" s="184" t="str">
        <f>IF(OR(ISBLANK($D17),ISBLANK($K17),ISBLANK($L17)),"",IF($L17="0–9 km",0,IF(LEFT($D17,18)="Short-term blended",IF($F17&lt;15,Ceilings!$S$6*$F17,Ceilings!$S$6*14+Ceilings!$S$7*($F17-14)),IF(LEFT($D17,18)="Short-term joint s",IF($F17&lt;15,Ceilings!$S$3*$F17,Ceilings!$S$3*14+Ceilings!$S$4*($F17-14)),VLOOKUP($K17,Subsistence,2,0)*14+VLOOKUP($K17,Subsistence,3,0)*46+VLOOKUP($K17,Subsistence,4,0)*($F17-60)))))</f>
        <v/>
      </c>
      <c r="O17" s="185" t="str">
        <f>IF(OR(ISBLANK(D17),ISBLANK(H17),ISBLANK(K17),ISBLANK(L17)),"",IF(L17="0–9 km",0,IF(I17&lt;15,Ceilings!$S$3*I17,Ceilings!$S$3*14+Ceilings!$S$4*(I17-14))))</f>
        <v/>
      </c>
      <c r="P17" s="183" t="str">
        <f t="shared" si="3"/>
        <v/>
      </c>
      <c r="Q17" s="436"/>
      <c r="R17" s="266" t="str">
        <f>IF(OR(ISBLANK($D17),ISBLANK($K17),ISBLANK(Q17)),"",Ceilings!$V$3*Q17)</f>
        <v/>
      </c>
      <c r="S17" s="72" t="str">
        <f t="shared" si="4"/>
        <v/>
      </c>
    </row>
    <row r="18" spans="1:19" ht="15.75" customHeight="1">
      <c r="A18" s="506"/>
      <c r="B18" s="51" t="str">
        <f>IF(ISBLANK(A18),"",VLOOKUP(A18,Management!$A$11:$C$25,2,0))</f>
        <v/>
      </c>
      <c r="C18" s="437"/>
      <c r="D18" s="58"/>
      <c r="E18" s="437"/>
      <c r="F18" s="434"/>
      <c r="G18" s="95" t="str">
        <f t="shared" si="0"/>
        <v/>
      </c>
      <c r="H18" s="435"/>
      <c r="I18" s="434"/>
      <c r="J18" s="95" t="str">
        <f t="shared" si="1"/>
        <v/>
      </c>
      <c r="K18" s="81"/>
      <c r="L18" s="362"/>
      <c r="M18" s="256" t="str">
        <f t="shared" si="2"/>
        <v/>
      </c>
      <c r="N18" s="184" t="str">
        <f>IF(OR(ISBLANK($D18),ISBLANK($K18),ISBLANK($L18)),"",IF($L18="0–9 km",0,IF(LEFT($D18,18)="Short-term blended",IF($F18&lt;15,Ceilings!$S$6*$F18,Ceilings!$S$6*14+Ceilings!$S$7*($F18-14)),IF(LEFT($D18,18)="Short-term joint s",IF($F18&lt;15,Ceilings!$S$3*$F18,Ceilings!$S$3*14+Ceilings!$S$4*($F18-14)),VLOOKUP($K18,Subsistence,2,0)*14+VLOOKUP($K18,Subsistence,3,0)*46+VLOOKUP($K18,Subsistence,4,0)*($F18-60)))))</f>
        <v/>
      </c>
      <c r="O18" s="185" t="str">
        <f>IF(OR(ISBLANK(D18),ISBLANK(H18),ISBLANK(K18),ISBLANK(L18)),"",IF(L18="0–9 km",0,IF(I18&lt;15,Ceilings!$S$3*I18,Ceilings!$S$3*14+Ceilings!$S$4*(I18-14))))</f>
        <v/>
      </c>
      <c r="P18" s="183" t="str">
        <f t="shared" si="3"/>
        <v/>
      </c>
      <c r="Q18" s="436"/>
      <c r="R18" s="266" t="str">
        <f>IF(OR(ISBLANK($D18),ISBLANK($K18),ISBLANK(Q18)),"",Ceilings!$V$3*Q18)</f>
        <v/>
      </c>
      <c r="S18" s="72" t="str">
        <f t="shared" si="4"/>
        <v/>
      </c>
    </row>
    <row r="19" spans="1:19" ht="15.75" customHeight="1">
      <c r="A19" s="506"/>
      <c r="B19" s="51" t="str">
        <f>IF(ISBLANK(A19),"",VLOOKUP(A19,Management!$A$11:$C$25,2,0))</f>
        <v/>
      </c>
      <c r="C19" s="437"/>
      <c r="D19" s="58"/>
      <c r="E19" s="437"/>
      <c r="F19" s="434"/>
      <c r="G19" s="95" t="str">
        <f t="shared" si="0"/>
        <v/>
      </c>
      <c r="H19" s="435"/>
      <c r="I19" s="434"/>
      <c r="J19" s="95" t="str">
        <f t="shared" si="1"/>
        <v/>
      </c>
      <c r="K19" s="81"/>
      <c r="L19" s="362"/>
      <c r="M19" s="256" t="str">
        <f t="shared" si="2"/>
        <v/>
      </c>
      <c r="N19" s="184" t="str">
        <f>IF(OR(ISBLANK($D19),ISBLANK($K19),ISBLANK($L19)),"",IF($L19="0–9 km",0,IF(LEFT($D19,18)="Short-term blended",IF($F19&lt;15,Ceilings!$S$6*$F19,Ceilings!$S$6*14+Ceilings!$S$7*($F19-14)),IF(LEFT($D19,18)="Short-term joint s",IF($F19&lt;15,Ceilings!$S$3*$F19,Ceilings!$S$3*14+Ceilings!$S$4*($F19-14)),VLOOKUP($K19,Subsistence,2,0)*14+VLOOKUP($K19,Subsistence,3,0)*46+VLOOKUP($K19,Subsistence,4,0)*($F19-60)))))</f>
        <v/>
      </c>
      <c r="O19" s="185" t="str">
        <f>IF(OR(ISBLANK(D19),ISBLANK(H19),ISBLANK(K19),ISBLANK(L19)),"",IF(L19="0–9 km",0,IF(I19&lt;15,Ceilings!$S$3*I19,Ceilings!$S$3*14+Ceilings!$S$4*(I19-14))))</f>
        <v/>
      </c>
      <c r="P19" s="183" t="str">
        <f t="shared" si="3"/>
        <v/>
      </c>
      <c r="Q19" s="436"/>
      <c r="R19" s="266" t="str">
        <f>IF(OR(ISBLANK($D19),ISBLANK($K19),ISBLANK(Q19)),"",Ceilings!$V$3*Q19)</f>
        <v/>
      </c>
      <c r="S19" s="72" t="str">
        <f t="shared" si="4"/>
        <v/>
      </c>
    </row>
    <row r="20" spans="1:19" ht="15.75" customHeight="1">
      <c r="A20" s="506"/>
      <c r="B20" s="51" t="str">
        <f>IF(ISBLANK(A20),"",VLOOKUP(A20,Management!$A$11:$C$25,2,0))</f>
        <v/>
      </c>
      <c r="C20" s="437"/>
      <c r="D20" s="58"/>
      <c r="E20" s="437"/>
      <c r="F20" s="434"/>
      <c r="G20" s="95" t="str">
        <f t="shared" si="0"/>
        <v/>
      </c>
      <c r="H20" s="435"/>
      <c r="I20" s="434"/>
      <c r="J20" s="95" t="str">
        <f t="shared" si="1"/>
        <v/>
      </c>
      <c r="K20" s="81"/>
      <c r="L20" s="362"/>
      <c r="M20" s="256" t="str">
        <f t="shared" si="2"/>
        <v/>
      </c>
      <c r="N20" s="184" t="str">
        <f>IF(OR(ISBLANK($D20),ISBLANK($K20),ISBLANK($L20)),"",IF($L20="0–9 km",0,IF(LEFT($D20,18)="Short-term blended",IF($F20&lt;15,Ceilings!$S$6*$F20,Ceilings!$S$6*14+Ceilings!$S$7*($F20-14)),IF(LEFT($D20,18)="Short-term joint s",IF($F20&lt;15,Ceilings!$S$3*$F20,Ceilings!$S$3*14+Ceilings!$S$4*($F20-14)),VLOOKUP($K20,Subsistence,2,0)*14+VLOOKUP($K20,Subsistence,3,0)*46+VLOOKUP($K20,Subsistence,4,0)*($F20-60)))))</f>
        <v/>
      </c>
      <c r="O20" s="185" t="str">
        <f>IF(OR(ISBLANK(D20),ISBLANK(H20),ISBLANK(K20),ISBLANK(L20)),"",IF(L20="0–9 km",0,IF(I20&lt;15,Ceilings!$S$3*I20,Ceilings!$S$3*14+Ceilings!$S$4*(I20-14))))</f>
        <v/>
      </c>
      <c r="P20" s="183" t="str">
        <f t="shared" si="3"/>
        <v/>
      </c>
      <c r="Q20" s="436"/>
      <c r="R20" s="266" t="str">
        <f>IF(OR(ISBLANK($D20),ISBLANK($K20),ISBLANK(Q20)),"",Ceilings!$V$3*Q20)</f>
        <v/>
      </c>
      <c r="S20" s="72" t="str">
        <f t="shared" si="4"/>
        <v/>
      </c>
    </row>
    <row r="21" spans="1:19" ht="15.75" customHeight="1">
      <c r="A21" s="506"/>
      <c r="B21" s="51" t="str">
        <f>IF(ISBLANK(A21),"",VLOOKUP(A21,Management!$A$11:$C$25,2,0))</f>
        <v/>
      </c>
      <c r="C21" s="437"/>
      <c r="D21" s="58"/>
      <c r="E21" s="437"/>
      <c r="F21" s="434"/>
      <c r="G21" s="95" t="str">
        <f t="shared" si="0"/>
        <v/>
      </c>
      <c r="H21" s="435"/>
      <c r="I21" s="434"/>
      <c r="J21" s="95" t="str">
        <f t="shared" si="1"/>
        <v/>
      </c>
      <c r="K21" s="81"/>
      <c r="L21" s="362"/>
      <c r="M21" s="256" t="str">
        <f t="shared" si="2"/>
        <v/>
      </c>
      <c r="N21" s="184" t="str">
        <f>IF(OR(ISBLANK($D21),ISBLANK($K21),ISBLANK($L21)),"",IF($L21="0–9 km",0,IF(LEFT($D21,18)="Short-term blended",IF($F21&lt;15,Ceilings!$S$6*$F21,Ceilings!$S$6*14+Ceilings!$S$7*($F21-14)),IF(LEFT($D21,18)="Short-term joint s",IF($F21&lt;15,Ceilings!$S$3*$F21,Ceilings!$S$3*14+Ceilings!$S$4*($F21-14)),VLOOKUP($K21,Subsistence,2,0)*14+VLOOKUP($K21,Subsistence,3,0)*46+VLOOKUP($K21,Subsistence,4,0)*($F21-60)))))</f>
        <v/>
      </c>
      <c r="O21" s="185" t="str">
        <f>IF(OR(ISBLANK(D21),ISBLANK(H21),ISBLANK(K21),ISBLANK(L21)),"",IF(L21="0–9 km",0,IF(I21&lt;15,Ceilings!$S$3*I21,Ceilings!$S$3*14+Ceilings!$S$4*(I21-14))))</f>
        <v/>
      </c>
      <c r="P21" s="183" t="str">
        <f t="shared" si="3"/>
        <v/>
      </c>
      <c r="Q21" s="436"/>
      <c r="R21" s="266" t="str">
        <f>IF(OR(ISBLANK($D21),ISBLANK($K21),ISBLANK(Q21)),"",Ceilings!$V$3*Q21)</f>
        <v/>
      </c>
      <c r="S21" s="72" t="str">
        <f t="shared" si="4"/>
        <v/>
      </c>
    </row>
    <row r="22" spans="1:19" ht="15.75" customHeight="1">
      <c r="A22" s="506"/>
      <c r="B22" s="51" t="str">
        <f>IF(ISBLANK(A22),"",VLOOKUP(A22,Management!$A$11:$C$25,2,0))</f>
        <v/>
      </c>
      <c r="C22" s="437"/>
      <c r="D22" s="58"/>
      <c r="E22" s="437"/>
      <c r="F22" s="434"/>
      <c r="G22" s="95" t="str">
        <f t="shared" si="0"/>
        <v/>
      </c>
      <c r="H22" s="435"/>
      <c r="I22" s="434"/>
      <c r="J22" s="95" t="str">
        <f t="shared" si="1"/>
        <v/>
      </c>
      <c r="K22" s="81"/>
      <c r="L22" s="362"/>
      <c r="M22" s="256" t="str">
        <f t="shared" si="2"/>
        <v/>
      </c>
      <c r="N22" s="184" t="str">
        <f>IF(OR(ISBLANK($D22),ISBLANK($K22),ISBLANK($L22)),"",IF($L22="0–9 km",0,IF(LEFT($D22,18)="Short-term blended",IF($F22&lt;15,Ceilings!$S$6*$F22,Ceilings!$S$6*14+Ceilings!$S$7*($F22-14)),IF(LEFT($D22,18)="Short-term joint s",IF($F22&lt;15,Ceilings!$S$3*$F22,Ceilings!$S$3*14+Ceilings!$S$4*($F22-14)),VLOOKUP($K22,Subsistence,2,0)*14+VLOOKUP($K22,Subsistence,3,0)*46+VLOOKUP($K22,Subsistence,4,0)*($F22-60)))))</f>
        <v/>
      </c>
      <c r="O22" s="185" t="str">
        <f>IF(OR(ISBLANK(D22),ISBLANK(H22),ISBLANK(K22),ISBLANK(L22)),"",IF(L22="0–9 km",0,IF(I22&lt;15,Ceilings!$S$3*I22,Ceilings!$S$3*14+Ceilings!$S$4*(I22-14))))</f>
        <v/>
      </c>
      <c r="P22" s="183" t="str">
        <f t="shared" si="3"/>
        <v/>
      </c>
      <c r="Q22" s="436"/>
      <c r="R22" s="266" t="str">
        <f>IF(OR(ISBLANK($D22),ISBLANK($K22),ISBLANK(Q22)),"",Ceilings!$V$3*Q22)</f>
        <v/>
      </c>
      <c r="S22" s="72" t="str">
        <f t="shared" si="4"/>
        <v/>
      </c>
    </row>
    <row r="23" spans="1:19" ht="15.75" customHeight="1">
      <c r="A23" s="506"/>
      <c r="B23" s="51" t="str">
        <f>IF(ISBLANK(A23),"",VLOOKUP(A23,Management!$A$11:$C$25,2,0))</f>
        <v/>
      </c>
      <c r="C23" s="437"/>
      <c r="D23" s="58"/>
      <c r="E23" s="437"/>
      <c r="F23" s="434"/>
      <c r="G23" s="95" t="str">
        <f t="shared" si="0"/>
        <v/>
      </c>
      <c r="H23" s="435"/>
      <c r="I23" s="434"/>
      <c r="J23" s="95" t="str">
        <f t="shared" si="1"/>
        <v/>
      </c>
      <c r="K23" s="81"/>
      <c r="L23" s="362"/>
      <c r="M23" s="256" t="str">
        <f t="shared" si="2"/>
        <v/>
      </c>
      <c r="N23" s="184" t="str">
        <f>IF(OR(ISBLANK($D23),ISBLANK($K23),ISBLANK($L23)),"",IF($L23="0–9 km",0,IF(LEFT($D23,18)="Short-term blended",IF($F23&lt;15,Ceilings!$S$6*$F23,Ceilings!$S$6*14+Ceilings!$S$7*($F23-14)),IF(LEFT($D23,18)="Short-term joint s",IF($F23&lt;15,Ceilings!$S$3*$F23,Ceilings!$S$3*14+Ceilings!$S$4*($F23-14)),VLOOKUP($K23,Subsistence,2,0)*14+VLOOKUP($K23,Subsistence,3,0)*46+VLOOKUP($K23,Subsistence,4,0)*($F23-60)))))</f>
        <v/>
      </c>
      <c r="O23" s="185" t="str">
        <f>IF(OR(ISBLANK(D23),ISBLANK(H23),ISBLANK(K23),ISBLANK(L23)),"",IF(L23="0–9 km",0,IF(I23&lt;15,Ceilings!$S$3*I23,Ceilings!$S$3*14+Ceilings!$S$4*(I23-14))))</f>
        <v/>
      </c>
      <c r="P23" s="183" t="str">
        <f t="shared" si="3"/>
        <v/>
      </c>
      <c r="Q23" s="436"/>
      <c r="R23" s="266" t="str">
        <f>IF(OR(ISBLANK($D23),ISBLANK($K23),ISBLANK(Q23)),"",Ceilings!$V$3*Q23)</f>
        <v/>
      </c>
      <c r="S23" s="72" t="str">
        <f t="shared" si="4"/>
        <v/>
      </c>
    </row>
    <row r="24" spans="1:19" ht="15.75" customHeight="1">
      <c r="A24" s="506"/>
      <c r="B24" s="51" t="str">
        <f>IF(ISBLANK(A24),"",VLOOKUP(A24,Management!$A$11:$C$25,2,0))</f>
        <v/>
      </c>
      <c r="C24" s="437"/>
      <c r="D24" s="58"/>
      <c r="E24" s="437"/>
      <c r="F24" s="434"/>
      <c r="G24" s="95" t="str">
        <f t="shared" si="0"/>
        <v/>
      </c>
      <c r="H24" s="435"/>
      <c r="I24" s="434"/>
      <c r="J24" s="95" t="str">
        <f t="shared" si="1"/>
        <v/>
      </c>
      <c r="K24" s="81"/>
      <c r="L24" s="362"/>
      <c r="M24" s="256" t="str">
        <f t="shared" si="2"/>
        <v/>
      </c>
      <c r="N24" s="184" t="str">
        <f>IF(OR(ISBLANK($D24),ISBLANK($K24),ISBLANK($L24)),"",IF($L24="0–9 km",0,IF(LEFT($D24,18)="Short-term blended",IF($F24&lt;15,Ceilings!$S$6*$F24,Ceilings!$S$6*14+Ceilings!$S$7*($F24-14)),IF(LEFT($D24,18)="Short-term joint s",IF($F24&lt;15,Ceilings!$S$3*$F24,Ceilings!$S$3*14+Ceilings!$S$4*($F24-14)),VLOOKUP($K24,Subsistence,2,0)*14+VLOOKUP($K24,Subsistence,3,0)*46+VLOOKUP($K24,Subsistence,4,0)*($F24-60)))))</f>
        <v/>
      </c>
      <c r="O24" s="185" t="str">
        <f>IF(OR(ISBLANK(D24),ISBLANK(H24),ISBLANK(K24),ISBLANK(L24)),"",IF(L24="0–9 km",0,IF(I24&lt;15,Ceilings!$S$3*I24,Ceilings!$S$3*14+Ceilings!$S$4*(I24-14))))</f>
        <v/>
      </c>
      <c r="P24" s="183" t="str">
        <f t="shared" si="3"/>
        <v/>
      </c>
      <c r="Q24" s="436"/>
      <c r="R24" s="266" t="str">
        <f>IF(OR(ISBLANK($D24),ISBLANK($K24),ISBLANK(Q24)),"",Ceilings!$V$3*Q24)</f>
        <v/>
      </c>
      <c r="S24" s="72" t="str">
        <f t="shared" si="4"/>
        <v/>
      </c>
    </row>
    <row r="25" spans="1:19" ht="15.75" customHeight="1">
      <c r="A25" s="506"/>
      <c r="B25" s="51" t="str">
        <f>IF(ISBLANK(A25),"",VLOOKUP(A25,Management!$A$11:$C$25,2,0))</f>
        <v/>
      </c>
      <c r="C25" s="437"/>
      <c r="D25" s="58"/>
      <c r="E25" s="437"/>
      <c r="F25" s="434"/>
      <c r="G25" s="95" t="str">
        <f t="shared" si="0"/>
        <v/>
      </c>
      <c r="H25" s="435"/>
      <c r="I25" s="434"/>
      <c r="J25" s="95" t="str">
        <f t="shared" si="1"/>
        <v/>
      </c>
      <c r="K25" s="81"/>
      <c r="L25" s="362"/>
      <c r="M25" s="256" t="str">
        <f t="shared" si="2"/>
        <v/>
      </c>
      <c r="N25" s="184" t="str">
        <f>IF(OR(ISBLANK($D25),ISBLANK($K25),ISBLANK($L25)),"",IF($L25="0–9 km",0,IF(LEFT($D25,18)="Short-term blended",IF($F25&lt;15,Ceilings!$S$6*$F25,Ceilings!$S$6*14+Ceilings!$S$7*($F25-14)),IF(LEFT($D25,18)="Short-term joint s",IF($F25&lt;15,Ceilings!$S$3*$F25,Ceilings!$S$3*14+Ceilings!$S$4*($F25-14)),VLOOKUP($K25,Subsistence,2,0)*14+VLOOKUP($K25,Subsistence,3,0)*46+VLOOKUP($K25,Subsistence,4,0)*($F25-60)))))</f>
        <v/>
      </c>
      <c r="O25" s="185" t="str">
        <f>IF(OR(ISBLANK(D25),ISBLANK(H25),ISBLANK(K25),ISBLANK(L25)),"",IF(L25="0–9 km",0,IF(I25&lt;15,Ceilings!$S$3*I25,Ceilings!$S$3*14+Ceilings!$S$4*(I25-14))))</f>
        <v/>
      </c>
      <c r="P25" s="183" t="str">
        <f t="shared" si="3"/>
        <v/>
      </c>
      <c r="Q25" s="436"/>
      <c r="R25" s="266" t="str">
        <f>IF(OR(ISBLANK($D25),ISBLANK($K25),ISBLANK(Q25)),"",Ceilings!$V$3*Q25)</f>
        <v/>
      </c>
      <c r="S25" s="72" t="str">
        <f t="shared" si="4"/>
        <v/>
      </c>
    </row>
    <row r="26" spans="1:19" ht="15.75" customHeight="1">
      <c r="A26" s="506"/>
      <c r="B26" s="51" t="str">
        <f>IF(ISBLANK(A26),"",VLOOKUP(A26,Management!$A$11:$C$25,2,0))</f>
        <v/>
      </c>
      <c r="C26" s="437"/>
      <c r="D26" s="58"/>
      <c r="E26" s="437"/>
      <c r="F26" s="434"/>
      <c r="G26" s="95" t="str">
        <f t="shared" si="0"/>
        <v/>
      </c>
      <c r="H26" s="435"/>
      <c r="I26" s="434"/>
      <c r="J26" s="95" t="str">
        <f t="shared" si="1"/>
        <v/>
      </c>
      <c r="K26" s="81"/>
      <c r="L26" s="362"/>
      <c r="M26" s="256" t="str">
        <f t="shared" si="2"/>
        <v/>
      </c>
      <c r="N26" s="184" t="str">
        <f>IF(OR(ISBLANK($D26),ISBLANK($K26),ISBLANK($L26)),"",IF($L26="0–9 km",0,IF(LEFT($D26,18)="Short-term blended",IF($F26&lt;15,Ceilings!$S$6*$F26,Ceilings!$S$6*14+Ceilings!$S$7*($F26-14)),IF(LEFT($D26,18)="Short-term joint s",IF($F26&lt;15,Ceilings!$S$3*$F26,Ceilings!$S$3*14+Ceilings!$S$4*($F26-14)),VLOOKUP($K26,Subsistence,2,0)*14+VLOOKUP($K26,Subsistence,3,0)*46+VLOOKUP($K26,Subsistence,4,0)*($F26-60)))))</f>
        <v/>
      </c>
      <c r="O26" s="185" t="str">
        <f>IF(OR(ISBLANK(D26),ISBLANK(H26),ISBLANK(K26),ISBLANK(L26)),"",IF(L26="0–9 km",0,IF(I26&lt;15,Ceilings!$S$3*I26,Ceilings!$S$3*14+Ceilings!$S$4*(I26-14))))</f>
        <v/>
      </c>
      <c r="P26" s="183" t="str">
        <f t="shared" si="3"/>
        <v/>
      </c>
      <c r="Q26" s="436"/>
      <c r="R26" s="266" t="str">
        <f>IF(OR(ISBLANK($D26),ISBLANK($K26),ISBLANK(Q26)),"",Ceilings!$V$3*Q26)</f>
        <v/>
      </c>
      <c r="S26" s="72" t="str">
        <f t="shared" si="4"/>
        <v/>
      </c>
    </row>
    <row r="27" spans="1:19" ht="15.75" customHeight="1">
      <c r="A27" s="506"/>
      <c r="B27" s="51" t="str">
        <f>IF(ISBLANK(A27),"",VLOOKUP(A27,Management!$A$11:$C$25,2,0))</f>
        <v/>
      </c>
      <c r="C27" s="437"/>
      <c r="D27" s="58"/>
      <c r="E27" s="437"/>
      <c r="F27" s="434"/>
      <c r="G27" s="95" t="str">
        <f t="shared" si="0"/>
        <v/>
      </c>
      <c r="H27" s="435"/>
      <c r="I27" s="434"/>
      <c r="J27" s="95" t="str">
        <f t="shared" si="1"/>
        <v/>
      </c>
      <c r="K27" s="81"/>
      <c r="L27" s="362"/>
      <c r="M27" s="256" t="str">
        <f t="shared" si="2"/>
        <v/>
      </c>
      <c r="N27" s="184" t="str">
        <f>IF(OR(ISBLANK($D27),ISBLANK($K27),ISBLANK($L27)),"",IF($L27="0–9 km",0,IF(LEFT($D27,18)="Short-term blended",IF($F27&lt;15,Ceilings!$S$6*$F27,Ceilings!$S$6*14+Ceilings!$S$7*($F27-14)),IF(LEFT($D27,18)="Short-term joint s",IF($F27&lt;15,Ceilings!$S$3*$F27,Ceilings!$S$3*14+Ceilings!$S$4*($F27-14)),VLOOKUP($K27,Subsistence,2,0)*14+VLOOKUP($K27,Subsistence,3,0)*46+VLOOKUP($K27,Subsistence,4,0)*($F27-60)))))</f>
        <v/>
      </c>
      <c r="O27" s="185" t="str">
        <f>IF(OR(ISBLANK(D27),ISBLANK(H27),ISBLANK(K27),ISBLANK(L27)),"",IF(L27="0–9 km",0,IF(I27&lt;15,Ceilings!$S$3*I27,Ceilings!$S$3*14+Ceilings!$S$4*(I27-14))))</f>
        <v/>
      </c>
      <c r="P27" s="183" t="str">
        <f t="shared" si="3"/>
        <v/>
      </c>
      <c r="Q27" s="436"/>
      <c r="R27" s="266" t="str">
        <f>IF(OR(ISBLANK($D27),ISBLANK($K27),ISBLANK(Q27)),"",Ceilings!$V$3*Q27)</f>
        <v/>
      </c>
      <c r="S27" s="72" t="str">
        <f t="shared" si="4"/>
        <v/>
      </c>
    </row>
    <row r="28" spans="1:19" ht="15.75" customHeight="1">
      <c r="A28" s="506"/>
      <c r="B28" s="51" t="str">
        <f>IF(ISBLANK(A28),"",VLOOKUP(A28,Management!$A$11:$C$25,2,0))</f>
        <v/>
      </c>
      <c r="C28" s="437"/>
      <c r="D28" s="58"/>
      <c r="E28" s="437"/>
      <c r="F28" s="434"/>
      <c r="G28" s="95" t="str">
        <f t="shared" si="0"/>
        <v/>
      </c>
      <c r="H28" s="435"/>
      <c r="I28" s="434"/>
      <c r="J28" s="95" t="str">
        <f t="shared" si="1"/>
        <v/>
      </c>
      <c r="K28" s="81"/>
      <c r="L28" s="362"/>
      <c r="M28" s="256" t="str">
        <f t="shared" si="2"/>
        <v/>
      </c>
      <c r="N28" s="184" t="str">
        <f>IF(OR(ISBLANK($D28),ISBLANK($K28),ISBLANK($L28)),"",IF($L28="0–9 km",0,IF(LEFT($D28,18)="Short-term blended",IF($F28&lt;15,Ceilings!$S$6*$F28,Ceilings!$S$6*14+Ceilings!$S$7*($F28-14)),IF(LEFT($D28,18)="Short-term joint s",IF($F28&lt;15,Ceilings!$S$3*$F28,Ceilings!$S$3*14+Ceilings!$S$4*($F28-14)),VLOOKUP($K28,Subsistence,2,0)*14+VLOOKUP($K28,Subsistence,3,0)*46+VLOOKUP($K28,Subsistence,4,0)*($F28-60)))))</f>
        <v/>
      </c>
      <c r="O28" s="185" t="str">
        <f>IF(OR(ISBLANK(D28),ISBLANK(H28),ISBLANK(K28),ISBLANK(L28)),"",IF(L28="0–9 km",0,IF(I28&lt;15,Ceilings!$S$3*I28,Ceilings!$S$3*14+Ceilings!$S$4*(I28-14))))</f>
        <v/>
      </c>
      <c r="P28" s="183" t="str">
        <f t="shared" si="3"/>
        <v/>
      </c>
      <c r="Q28" s="436"/>
      <c r="R28" s="266" t="str">
        <f>IF(OR(ISBLANK($D28),ISBLANK($K28),ISBLANK(Q28)),"",Ceilings!$V$3*Q28)</f>
        <v/>
      </c>
      <c r="S28" s="72" t="str">
        <f t="shared" si="4"/>
        <v/>
      </c>
    </row>
    <row r="29" spans="1:19" ht="15.75" customHeight="1">
      <c r="A29" s="506"/>
      <c r="B29" s="51" t="str">
        <f>IF(ISBLANK(A29),"",VLOOKUP(A29,Management!$A$11:$C$25,2,0))</f>
        <v/>
      </c>
      <c r="C29" s="437"/>
      <c r="D29" s="58"/>
      <c r="E29" s="437"/>
      <c r="F29" s="434"/>
      <c r="G29" s="95" t="str">
        <f t="shared" si="0"/>
        <v/>
      </c>
      <c r="H29" s="435"/>
      <c r="I29" s="434"/>
      <c r="J29" s="95" t="str">
        <f t="shared" si="1"/>
        <v/>
      </c>
      <c r="K29" s="81"/>
      <c r="L29" s="362"/>
      <c r="M29" s="256" t="str">
        <f t="shared" si="2"/>
        <v/>
      </c>
      <c r="N29" s="184" t="str">
        <f>IF(OR(ISBLANK($D29),ISBLANK($K29),ISBLANK($L29)),"",IF($L29="0–9 km",0,IF(LEFT($D29,18)="Short-term blended",IF($F29&lt;15,Ceilings!$S$6*$F29,Ceilings!$S$6*14+Ceilings!$S$7*($F29-14)),IF(LEFT($D29,18)="Short-term joint s",IF($F29&lt;15,Ceilings!$S$3*$F29,Ceilings!$S$3*14+Ceilings!$S$4*($F29-14)),VLOOKUP($K29,Subsistence,2,0)*14+VLOOKUP($K29,Subsistence,3,0)*46+VLOOKUP($K29,Subsistence,4,0)*($F29-60)))))</f>
        <v/>
      </c>
      <c r="O29" s="185" t="str">
        <f>IF(OR(ISBLANK(D29),ISBLANK(H29),ISBLANK(K29),ISBLANK(L29)),"",IF(L29="0–9 km",0,IF(I29&lt;15,Ceilings!$S$3*I29,Ceilings!$S$3*14+Ceilings!$S$4*(I29-14))))</f>
        <v/>
      </c>
      <c r="P29" s="183" t="str">
        <f t="shared" si="3"/>
        <v/>
      </c>
      <c r="Q29" s="436"/>
      <c r="R29" s="266" t="str">
        <f>IF(OR(ISBLANK($D29),ISBLANK($K29),ISBLANK(Q29)),"",Ceilings!$V$3*Q29)</f>
        <v/>
      </c>
      <c r="S29" s="72" t="str">
        <f t="shared" si="4"/>
        <v/>
      </c>
    </row>
    <row r="30" spans="1:19" ht="15.75" customHeight="1">
      <c r="A30" s="506"/>
      <c r="B30" s="51" t="str">
        <f>IF(ISBLANK(A30),"",VLOOKUP(A30,Management!$A$11:$C$25,2,0))</f>
        <v/>
      </c>
      <c r="C30" s="437"/>
      <c r="D30" s="58"/>
      <c r="E30" s="437"/>
      <c r="F30" s="434"/>
      <c r="G30" s="95" t="str">
        <f t="shared" si="0"/>
        <v/>
      </c>
      <c r="H30" s="435"/>
      <c r="I30" s="434"/>
      <c r="J30" s="95" t="str">
        <f t="shared" si="1"/>
        <v/>
      </c>
      <c r="K30" s="81"/>
      <c r="L30" s="362"/>
      <c r="M30" s="256" t="str">
        <f t="shared" si="2"/>
        <v/>
      </c>
      <c r="N30" s="184" t="str">
        <f>IF(OR(ISBLANK($D30),ISBLANK($K30),ISBLANK($L30)),"",IF($L30="0–9 km",0,IF(LEFT($D30,18)="Short-term blended",IF($F30&lt;15,Ceilings!$S$6*$F30,Ceilings!$S$6*14+Ceilings!$S$7*($F30-14)),IF(LEFT($D30,18)="Short-term joint s",IF($F30&lt;15,Ceilings!$S$3*$F30,Ceilings!$S$3*14+Ceilings!$S$4*($F30-14)),VLOOKUP($K30,Subsistence,2,0)*14+VLOOKUP($K30,Subsistence,3,0)*46+VLOOKUP($K30,Subsistence,4,0)*($F30-60)))))</f>
        <v/>
      </c>
      <c r="O30" s="185" t="str">
        <f>IF(OR(ISBLANK(D30),ISBLANK(H30),ISBLANK(K30),ISBLANK(L30)),"",IF(L30="0–9 km",0,IF(I30&lt;15,Ceilings!$S$3*I30,Ceilings!$S$3*14+Ceilings!$S$4*(I30-14))))</f>
        <v/>
      </c>
      <c r="P30" s="183" t="str">
        <f t="shared" si="3"/>
        <v/>
      </c>
      <c r="Q30" s="436"/>
      <c r="R30" s="266" t="str">
        <f>IF(OR(ISBLANK($D30),ISBLANK($K30),ISBLANK(Q30)),"",Ceilings!$V$3*Q30)</f>
        <v/>
      </c>
      <c r="S30" s="72" t="str">
        <f t="shared" si="4"/>
        <v/>
      </c>
    </row>
    <row r="31" spans="1:19" ht="15.75" customHeight="1">
      <c r="A31" s="506"/>
      <c r="B31" s="51" t="str">
        <f>IF(ISBLANK(A31),"",VLOOKUP(A31,Management!$A$11:$C$25,2,0))</f>
        <v/>
      </c>
      <c r="C31" s="437"/>
      <c r="D31" s="58"/>
      <c r="E31" s="437"/>
      <c r="F31" s="434"/>
      <c r="G31" s="95" t="str">
        <f t="shared" si="0"/>
        <v/>
      </c>
      <c r="H31" s="435"/>
      <c r="I31" s="434"/>
      <c r="J31" s="95" t="str">
        <f t="shared" si="1"/>
        <v/>
      </c>
      <c r="K31" s="81"/>
      <c r="L31" s="362"/>
      <c r="M31" s="256" t="str">
        <f t="shared" si="2"/>
        <v/>
      </c>
      <c r="N31" s="184" t="str">
        <f>IF(OR(ISBLANK($D31),ISBLANK($K31),ISBLANK($L31)),"",IF($L31="0–9 km",0,IF(LEFT($D31,18)="Short-term blended",IF($F31&lt;15,Ceilings!$S$6*$F31,Ceilings!$S$6*14+Ceilings!$S$7*($F31-14)),IF(LEFT($D31,18)="Short-term joint s",IF($F31&lt;15,Ceilings!$S$3*$F31,Ceilings!$S$3*14+Ceilings!$S$4*($F31-14)),VLOOKUP($K31,Subsistence,2,0)*14+VLOOKUP($K31,Subsistence,3,0)*46+VLOOKUP($K31,Subsistence,4,0)*($F31-60)))))</f>
        <v/>
      </c>
      <c r="O31" s="185" t="str">
        <f>IF(OR(ISBLANK(D31),ISBLANK(H31),ISBLANK(K31),ISBLANK(L31)),"",IF(L31="0–9 km",0,IF(I31&lt;15,Ceilings!$S$3*I31,Ceilings!$S$3*14+Ceilings!$S$4*(I31-14))))</f>
        <v/>
      </c>
      <c r="P31" s="183" t="str">
        <f t="shared" si="3"/>
        <v/>
      </c>
      <c r="Q31" s="436"/>
      <c r="R31" s="266" t="str">
        <f>IF(OR(ISBLANK($D31),ISBLANK($K31),ISBLANK(Q31)),"",Ceilings!$V$3*Q31)</f>
        <v/>
      </c>
      <c r="S31" s="72" t="str">
        <f t="shared" si="4"/>
        <v/>
      </c>
    </row>
    <row r="32" spans="1:19" ht="15.75" customHeight="1">
      <c r="A32" s="506"/>
      <c r="B32" s="51" t="str">
        <f>IF(ISBLANK(A32),"",VLOOKUP(A32,Management!$A$11:$C$25,2,0))</f>
        <v/>
      </c>
      <c r="C32" s="437"/>
      <c r="D32" s="58"/>
      <c r="E32" s="437"/>
      <c r="F32" s="434"/>
      <c r="G32" s="95" t="str">
        <f t="shared" si="0"/>
        <v/>
      </c>
      <c r="H32" s="435"/>
      <c r="I32" s="434"/>
      <c r="J32" s="95" t="str">
        <f t="shared" si="1"/>
        <v/>
      </c>
      <c r="K32" s="81"/>
      <c r="L32" s="362"/>
      <c r="M32" s="256" t="str">
        <f t="shared" si="2"/>
        <v/>
      </c>
      <c r="N32" s="184" t="str">
        <f>IF(OR(ISBLANK($D32),ISBLANK($K32),ISBLANK($L32)),"",IF($L32="0–9 km",0,IF(LEFT($D32,18)="Short-term blended",IF($F32&lt;15,Ceilings!$S$6*$F32,Ceilings!$S$6*14+Ceilings!$S$7*($F32-14)),IF(LEFT($D32,18)="Short-term joint s",IF($F32&lt;15,Ceilings!$S$3*$F32,Ceilings!$S$3*14+Ceilings!$S$4*($F32-14)),VLOOKUP($K32,Subsistence,2,0)*14+VLOOKUP($K32,Subsistence,3,0)*46+VLOOKUP($K32,Subsistence,4,0)*($F32-60)))))</f>
        <v/>
      </c>
      <c r="O32" s="185" t="str">
        <f>IF(OR(ISBLANK(D32),ISBLANK(H32),ISBLANK(K32),ISBLANK(L32)),"",IF(L32="0–9 km",0,IF(I32&lt;15,Ceilings!$S$3*I32,Ceilings!$S$3*14+Ceilings!$S$4*(I32-14))))</f>
        <v/>
      </c>
      <c r="P32" s="183" t="str">
        <f t="shared" si="3"/>
        <v/>
      </c>
      <c r="Q32" s="436"/>
      <c r="R32" s="266" t="str">
        <f>IF(OR(ISBLANK($D32),ISBLANK($K32),ISBLANK(Q32)),"",Ceilings!$V$3*Q32)</f>
        <v/>
      </c>
      <c r="S32" s="72" t="str">
        <f t="shared" si="4"/>
        <v/>
      </c>
    </row>
    <row r="33" spans="1:19" ht="15.75" customHeight="1">
      <c r="A33" s="506"/>
      <c r="B33" s="51" t="str">
        <f>IF(ISBLANK(A33),"",VLOOKUP(A33,Management!$A$11:$C$25,2,0))</f>
        <v/>
      </c>
      <c r="C33" s="437"/>
      <c r="D33" s="58"/>
      <c r="E33" s="437"/>
      <c r="F33" s="434"/>
      <c r="G33" s="95" t="str">
        <f t="shared" si="0"/>
        <v/>
      </c>
      <c r="H33" s="435"/>
      <c r="I33" s="434"/>
      <c r="J33" s="95" t="str">
        <f t="shared" si="1"/>
        <v/>
      </c>
      <c r="K33" s="81"/>
      <c r="L33" s="362"/>
      <c r="M33" s="256" t="str">
        <f t="shared" si="2"/>
        <v/>
      </c>
      <c r="N33" s="184" t="str">
        <f>IF(OR(ISBLANK($D33),ISBLANK($K33),ISBLANK($L33)),"",IF($L33="0–9 km",0,IF(LEFT($D33,18)="Short-term blended",IF($F33&lt;15,Ceilings!$S$6*$F33,Ceilings!$S$6*14+Ceilings!$S$7*($F33-14)),IF(LEFT($D33,18)="Short-term joint s",IF($F33&lt;15,Ceilings!$S$3*$F33,Ceilings!$S$3*14+Ceilings!$S$4*($F33-14)),VLOOKUP($K33,Subsistence,2,0)*14+VLOOKUP($K33,Subsistence,3,0)*46+VLOOKUP($K33,Subsistence,4,0)*($F33-60)))))</f>
        <v/>
      </c>
      <c r="O33" s="185" t="str">
        <f>IF(OR(ISBLANK(D33),ISBLANK(H33),ISBLANK(K33),ISBLANK(L33)),"",IF(L33="0–9 km",0,IF(I33&lt;15,Ceilings!$S$3*I33,Ceilings!$S$3*14+Ceilings!$S$4*(I33-14))))</f>
        <v/>
      </c>
      <c r="P33" s="183" t="str">
        <f t="shared" si="3"/>
        <v/>
      </c>
      <c r="Q33" s="436"/>
      <c r="R33" s="266" t="str">
        <f>IF(OR(ISBLANK($D33),ISBLANK($K33),ISBLANK(Q33)),"",Ceilings!$V$3*Q33)</f>
        <v/>
      </c>
      <c r="S33" s="72" t="str">
        <f t="shared" si="4"/>
        <v/>
      </c>
    </row>
    <row r="34" spans="1:19" ht="15.75" customHeight="1">
      <c r="A34" s="506"/>
      <c r="B34" s="51" t="str">
        <f>IF(ISBLANK(A34),"",VLOOKUP(A34,Management!$A$11:$C$25,2,0))</f>
        <v/>
      </c>
      <c r="C34" s="437"/>
      <c r="D34" s="58"/>
      <c r="E34" s="437"/>
      <c r="F34" s="434"/>
      <c r="G34" s="95" t="str">
        <f t="shared" si="0"/>
        <v/>
      </c>
      <c r="H34" s="435"/>
      <c r="I34" s="434"/>
      <c r="J34" s="95" t="str">
        <f t="shared" si="1"/>
        <v/>
      </c>
      <c r="K34" s="81"/>
      <c r="L34" s="362"/>
      <c r="M34" s="256" t="str">
        <f t="shared" si="2"/>
        <v/>
      </c>
      <c r="N34" s="184" t="str">
        <f>IF(OR(ISBLANK($D34),ISBLANK($K34),ISBLANK($L34)),"",IF($L34="0–9 km",0,IF(LEFT($D34,18)="Short-term blended",IF($F34&lt;15,Ceilings!$S$6*$F34,Ceilings!$S$6*14+Ceilings!$S$7*($F34-14)),IF(LEFT($D34,18)="Short-term joint s",IF($F34&lt;15,Ceilings!$S$3*$F34,Ceilings!$S$3*14+Ceilings!$S$4*($F34-14)),VLOOKUP($K34,Subsistence,2,0)*14+VLOOKUP($K34,Subsistence,3,0)*46+VLOOKUP($K34,Subsistence,4,0)*($F34-60)))))</f>
        <v/>
      </c>
      <c r="O34" s="185" t="str">
        <f>IF(OR(ISBLANK(D34),ISBLANK(H34),ISBLANK(K34),ISBLANK(L34)),"",IF(L34="0–9 km",0,IF(I34&lt;15,Ceilings!$S$3*I34,Ceilings!$S$3*14+Ceilings!$S$4*(I34-14))))</f>
        <v/>
      </c>
      <c r="P34" s="183" t="str">
        <f t="shared" si="3"/>
        <v/>
      </c>
      <c r="Q34" s="436"/>
      <c r="R34" s="266" t="str">
        <f>IF(OR(ISBLANK($D34),ISBLANK($K34),ISBLANK(Q34)),"",Ceilings!$V$3*Q34)</f>
        <v/>
      </c>
      <c r="S34" s="72" t="str">
        <f t="shared" si="4"/>
        <v/>
      </c>
    </row>
    <row r="35" spans="1:19" ht="15.75" customHeight="1">
      <c r="A35" s="506"/>
      <c r="B35" s="51" t="str">
        <f>IF(ISBLANK(A35),"",VLOOKUP(A35,Management!$A$11:$C$25,2,0))</f>
        <v/>
      </c>
      <c r="C35" s="437"/>
      <c r="D35" s="58"/>
      <c r="E35" s="437"/>
      <c r="F35" s="434"/>
      <c r="G35" s="95" t="str">
        <f t="shared" si="0"/>
        <v/>
      </c>
      <c r="H35" s="435"/>
      <c r="I35" s="434"/>
      <c r="J35" s="95" t="str">
        <f t="shared" si="1"/>
        <v/>
      </c>
      <c r="K35" s="81"/>
      <c r="L35" s="362"/>
      <c r="M35" s="256" t="str">
        <f t="shared" si="2"/>
        <v/>
      </c>
      <c r="N35" s="184" t="str">
        <f>IF(OR(ISBLANK($D35),ISBLANK($K35),ISBLANK($L35)),"",IF($L35="0–9 km",0,IF(LEFT($D35,18)="Short-term blended",IF($F35&lt;15,Ceilings!$S$6*$F35,Ceilings!$S$6*14+Ceilings!$S$7*($F35-14)),IF(LEFT($D35,18)="Short-term joint s",IF($F35&lt;15,Ceilings!$S$3*$F35,Ceilings!$S$3*14+Ceilings!$S$4*($F35-14)),VLOOKUP($K35,Subsistence,2,0)*14+VLOOKUP($K35,Subsistence,3,0)*46+VLOOKUP($K35,Subsistence,4,0)*($F35-60)))))</f>
        <v/>
      </c>
      <c r="O35" s="185" t="str">
        <f>IF(OR(ISBLANK(D35),ISBLANK(H35),ISBLANK(K35),ISBLANK(L35)),"",IF(L35="0–9 km",0,IF(I35&lt;15,Ceilings!$S$3*I35,Ceilings!$S$3*14+Ceilings!$S$4*(I35-14))))</f>
        <v/>
      </c>
      <c r="P35" s="183" t="str">
        <f t="shared" si="3"/>
        <v/>
      </c>
      <c r="Q35" s="436"/>
      <c r="R35" s="266" t="str">
        <f>IF(OR(ISBLANK($D35),ISBLANK($K35),ISBLANK(Q35)),"",Ceilings!$V$3*Q35)</f>
        <v/>
      </c>
      <c r="S35" s="72" t="str">
        <f t="shared" si="4"/>
        <v/>
      </c>
    </row>
    <row r="36" spans="1:19" ht="15.75" customHeight="1">
      <c r="A36" s="506"/>
      <c r="B36" s="51" t="str">
        <f>IF(ISBLANK(A36),"",VLOOKUP(A36,Management!$A$11:$C$25,2,0))</f>
        <v/>
      </c>
      <c r="C36" s="437"/>
      <c r="D36" s="58"/>
      <c r="E36" s="437"/>
      <c r="F36" s="434"/>
      <c r="G36" s="95" t="str">
        <f t="shared" si="0"/>
        <v/>
      </c>
      <c r="H36" s="435"/>
      <c r="I36" s="434"/>
      <c r="J36" s="95" t="str">
        <f t="shared" si="1"/>
        <v/>
      </c>
      <c r="K36" s="81"/>
      <c r="L36" s="362"/>
      <c r="M36" s="256" t="str">
        <f t="shared" si="2"/>
        <v/>
      </c>
      <c r="N36" s="184" t="str">
        <f>IF(OR(ISBLANK($D36),ISBLANK($K36),ISBLANK($L36)),"",IF($L36="0–9 km",0,IF(LEFT($D36,18)="Short-term blended",IF($F36&lt;15,Ceilings!$S$6*$F36,Ceilings!$S$6*14+Ceilings!$S$7*($F36-14)),IF(LEFT($D36,18)="Short-term joint s",IF($F36&lt;15,Ceilings!$S$3*$F36,Ceilings!$S$3*14+Ceilings!$S$4*($F36-14)),VLOOKUP($K36,Subsistence,2,0)*14+VLOOKUP($K36,Subsistence,3,0)*46+VLOOKUP($K36,Subsistence,4,0)*($F36-60)))))</f>
        <v/>
      </c>
      <c r="O36" s="185" t="str">
        <f>IF(OR(ISBLANK(D36),ISBLANK(H36),ISBLANK(K36),ISBLANK(L36)),"",IF(L36="0–9 km",0,IF(I36&lt;15,Ceilings!$S$3*I36,Ceilings!$S$3*14+Ceilings!$S$4*(I36-14))))</f>
        <v/>
      </c>
      <c r="P36" s="183" t="str">
        <f t="shared" si="3"/>
        <v/>
      </c>
      <c r="Q36" s="436"/>
      <c r="R36" s="266" t="str">
        <f>IF(OR(ISBLANK($D36),ISBLANK($K36),ISBLANK(Q36)),"",Ceilings!$V$3*Q36)</f>
        <v/>
      </c>
      <c r="S36" s="72" t="str">
        <f t="shared" si="4"/>
        <v/>
      </c>
    </row>
    <row r="37" spans="1:19" ht="15.75" customHeight="1">
      <c r="A37" s="506"/>
      <c r="B37" s="51" t="str">
        <f>IF(ISBLANK(A37),"",VLOOKUP(A37,Management!$A$11:$C$25,2,0))</f>
        <v/>
      </c>
      <c r="C37" s="437"/>
      <c r="D37" s="58"/>
      <c r="E37" s="437"/>
      <c r="F37" s="434"/>
      <c r="G37" s="95" t="str">
        <f t="shared" si="0"/>
        <v/>
      </c>
      <c r="H37" s="435"/>
      <c r="I37" s="434"/>
      <c r="J37" s="95" t="str">
        <f t="shared" si="1"/>
        <v/>
      </c>
      <c r="K37" s="81"/>
      <c r="L37" s="362"/>
      <c r="M37" s="256" t="str">
        <f t="shared" si="2"/>
        <v/>
      </c>
      <c r="N37" s="184" t="str">
        <f>IF(OR(ISBLANK($D37),ISBLANK($K37),ISBLANK($L37)),"",IF($L37="0–9 km",0,IF(LEFT($D37,18)="Short-term blended",IF($F37&lt;15,Ceilings!$S$6*$F37,Ceilings!$S$6*14+Ceilings!$S$7*($F37-14)),IF(LEFT($D37,18)="Short-term joint s",IF($F37&lt;15,Ceilings!$S$3*$F37,Ceilings!$S$3*14+Ceilings!$S$4*($F37-14)),VLOOKUP($K37,Subsistence,2,0)*14+VLOOKUP($K37,Subsistence,3,0)*46+VLOOKUP($K37,Subsistence,4,0)*($F37-60)))))</f>
        <v/>
      </c>
      <c r="O37" s="185" t="str">
        <f>IF(OR(ISBLANK(D37),ISBLANK(H37),ISBLANK(K37),ISBLANK(L37)),"",IF(L37="0–9 km",0,IF(I37&lt;15,Ceilings!$S$3*I37,Ceilings!$S$3*14+Ceilings!$S$4*(I37-14))))</f>
        <v/>
      </c>
      <c r="P37" s="183" t="str">
        <f t="shared" si="3"/>
        <v/>
      </c>
      <c r="Q37" s="436"/>
      <c r="R37" s="266" t="str">
        <f>IF(OR(ISBLANK($D37),ISBLANK($K37),ISBLANK(Q37)),"",Ceilings!$V$3*Q37)</f>
        <v/>
      </c>
      <c r="S37" s="72" t="str">
        <f t="shared" si="4"/>
        <v/>
      </c>
    </row>
    <row r="38" spans="1:19" ht="15.75" customHeight="1">
      <c r="A38" s="506"/>
      <c r="B38" s="51" t="str">
        <f>IF(ISBLANK(A38),"",VLOOKUP(A38,Management!$A$11:$C$25,2,0))</f>
        <v/>
      </c>
      <c r="C38" s="437"/>
      <c r="D38" s="58"/>
      <c r="E38" s="437"/>
      <c r="F38" s="434"/>
      <c r="G38" s="95" t="str">
        <f t="shared" si="0"/>
        <v/>
      </c>
      <c r="H38" s="435"/>
      <c r="I38" s="434"/>
      <c r="J38" s="95" t="str">
        <f t="shared" si="1"/>
        <v/>
      </c>
      <c r="K38" s="81"/>
      <c r="L38" s="362"/>
      <c r="M38" s="256" t="str">
        <f t="shared" si="2"/>
        <v/>
      </c>
      <c r="N38" s="184" t="str">
        <f>IF(OR(ISBLANK($D38),ISBLANK($K38),ISBLANK($L38)),"",IF($L38="0–9 km",0,IF(LEFT($D38,18)="Short-term blended",IF($F38&lt;15,Ceilings!$S$6*$F38,Ceilings!$S$6*14+Ceilings!$S$7*($F38-14)),IF(LEFT($D38,18)="Short-term joint s",IF($F38&lt;15,Ceilings!$S$3*$F38,Ceilings!$S$3*14+Ceilings!$S$4*($F38-14)),VLOOKUP($K38,Subsistence,2,0)*14+VLOOKUP($K38,Subsistence,3,0)*46+VLOOKUP($K38,Subsistence,4,0)*($F38-60)))))</f>
        <v/>
      </c>
      <c r="O38" s="185" t="str">
        <f>IF(OR(ISBLANK(D38),ISBLANK(H38),ISBLANK(K38),ISBLANK(L38)),"",IF(L38="0–9 km",0,IF(I38&lt;15,Ceilings!$S$3*I38,Ceilings!$S$3*14+Ceilings!$S$4*(I38-14))))</f>
        <v/>
      </c>
      <c r="P38" s="183" t="str">
        <f t="shared" si="3"/>
        <v/>
      </c>
      <c r="Q38" s="436"/>
      <c r="R38" s="266" t="str">
        <f>IF(OR(ISBLANK($D38),ISBLANK($K38),ISBLANK(Q38)),"",Ceilings!$V$3*Q38)</f>
        <v/>
      </c>
      <c r="S38" s="72" t="str">
        <f t="shared" si="4"/>
        <v/>
      </c>
    </row>
    <row r="39" spans="1:19" ht="15.75" customHeight="1">
      <c r="A39" s="506"/>
      <c r="B39" s="51" t="str">
        <f>IF(ISBLANK(A39),"",VLOOKUP(A39,Management!$A$11:$C$25,2,0))</f>
        <v/>
      </c>
      <c r="C39" s="437"/>
      <c r="D39" s="58"/>
      <c r="E39" s="437"/>
      <c r="F39" s="434"/>
      <c r="G39" s="95" t="str">
        <f t="shared" si="0"/>
        <v/>
      </c>
      <c r="H39" s="435"/>
      <c r="I39" s="434"/>
      <c r="J39" s="95" t="str">
        <f t="shared" si="1"/>
        <v/>
      </c>
      <c r="K39" s="81"/>
      <c r="L39" s="362"/>
      <c r="M39" s="256" t="str">
        <f t="shared" ref="M39:M70" si="5">IF(ISBLANK(L39),"",(E39+H39)*VLOOKUP(L39,TravelGrant,2,0))</f>
        <v/>
      </c>
      <c r="N39" s="184" t="str">
        <f>IF(OR(ISBLANK($D39),ISBLANK($K39),ISBLANK($L39)),"",IF($L39="0–9 km",0,IF(LEFT($D39,18)="Short-term blended",IF($F39&lt;15,Ceilings!$S$6*$F39,Ceilings!$S$6*14+Ceilings!$S$7*($F39-14)),IF(LEFT($D39,18)="Short-term joint s",IF($F39&lt;15,Ceilings!$S$3*$F39,Ceilings!$S$3*14+Ceilings!$S$4*($F39-14)),VLOOKUP($K39,Subsistence,2,0)*14+VLOOKUP($K39,Subsistence,3,0)*46+VLOOKUP($K39,Subsistence,4,0)*($F39-60)))))</f>
        <v/>
      </c>
      <c r="O39" s="185" t="str">
        <f>IF(OR(ISBLANK(D39),ISBLANK(H39),ISBLANK(K39),ISBLANK(L39)),"",IF(L39="0–9 km",0,IF(I39&lt;15,Ceilings!$S$3*I39,Ceilings!$S$3*14+Ceilings!$S$4*(I39-14))))</f>
        <v/>
      </c>
      <c r="P39" s="183" t="str">
        <f t="shared" si="3"/>
        <v/>
      </c>
      <c r="Q39" s="436"/>
      <c r="R39" s="266" t="str">
        <f>IF(OR(ISBLANK($D39),ISBLANK($K39),ISBLANK(Q39)),"",Ceilings!$V$3*Q39)</f>
        <v/>
      </c>
      <c r="S39" s="72" t="str">
        <f t="shared" ref="S39:S70" si="6">IF(ISBLANK($A39),"",IF(OR(ISBLANK($C39),ISBLANK($D39),ISBLANK($E39),ISBLANK($K39)),"Missing data",SUM($M39,$P39,$R39)))</f>
        <v/>
      </c>
    </row>
    <row r="40" spans="1:19" ht="15.75" customHeight="1">
      <c r="A40" s="506"/>
      <c r="B40" s="51" t="str">
        <f>IF(ISBLANK(A40),"",VLOOKUP(A40,Management!$A$11:$C$25,2,0))</f>
        <v/>
      </c>
      <c r="C40" s="437"/>
      <c r="D40" s="58"/>
      <c r="E40" s="437"/>
      <c r="F40" s="434"/>
      <c r="G40" s="95" t="str">
        <f t="shared" si="0"/>
        <v/>
      </c>
      <c r="H40" s="435"/>
      <c r="I40" s="434"/>
      <c r="J40" s="95" t="str">
        <f t="shared" si="1"/>
        <v/>
      </c>
      <c r="K40" s="81"/>
      <c r="L40" s="362"/>
      <c r="M40" s="256" t="str">
        <f t="shared" si="5"/>
        <v/>
      </c>
      <c r="N40" s="184" t="str">
        <f>IF(OR(ISBLANK($D40),ISBLANK($K40),ISBLANK($L40)),"",IF($L40="0–9 km",0,IF(LEFT($D40,18)="Short-term blended",IF($F40&lt;15,Ceilings!$S$6*$F40,Ceilings!$S$6*14+Ceilings!$S$7*($F40-14)),IF(LEFT($D40,18)="Short-term joint s",IF($F40&lt;15,Ceilings!$S$3*$F40,Ceilings!$S$3*14+Ceilings!$S$4*($F40-14)),VLOOKUP($K40,Subsistence,2,0)*14+VLOOKUP($K40,Subsistence,3,0)*46+VLOOKUP($K40,Subsistence,4,0)*($F40-60)))))</f>
        <v/>
      </c>
      <c r="O40" s="185" t="str">
        <f>IF(OR(ISBLANK(D40),ISBLANK(H40),ISBLANK(K40),ISBLANK(L40)),"",IF(L40="0–9 km",0,IF(I40&lt;15,Ceilings!$S$3*I40,Ceilings!$S$3*14+Ceilings!$S$4*(I40-14))))</f>
        <v/>
      </c>
      <c r="P40" s="183" t="str">
        <f t="shared" si="3"/>
        <v/>
      </c>
      <c r="Q40" s="436"/>
      <c r="R40" s="266" t="str">
        <f>IF(OR(ISBLANK($D40),ISBLANK($K40),ISBLANK(Q40)),"",Ceilings!$V$3*Q40)</f>
        <v/>
      </c>
      <c r="S40" s="72" t="str">
        <f t="shared" si="6"/>
        <v/>
      </c>
    </row>
    <row r="41" spans="1:19" ht="15.75" customHeight="1">
      <c r="A41" s="506"/>
      <c r="B41" s="51" t="str">
        <f>IF(ISBLANK(A41),"",VLOOKUP(A41,Management!$A$11:$C$25,2,0))</f>
        <v/>
      </c>
      <c r="C41" s="437"/>
      <c r="D41" s="58"/>
      <c r="E41" s="437"/>
      <c r="F41" s="434"/>
      <c r="G41" s="95" t="str">
        <f t="shared" si="0"/>
        <v/>
      </c>
      <c r="H41" s="435"/>
      <c r="I41" s="434"/>
      <c r="J41" s="95" t="str">
        <f t="shared" si="1"/>
        <v/>
      </c>
      <c r="K41" s="81"/>
      <c r="L41" s="362"/>
      <c r="M41" s="256" t="str">
        <f t="shared" si="5"/>
        <v/>
      </c>
      <c r="N41" s="184" t="str">
        <f>IF(OR(ISBLANK($D41),ISBLANK($K41),ISBLANK($L41)),"",IF($L41="0–9 km",0,IF(LEFT($D41,18)="Short-term blended",IF($F41&lt;15,Ceilings!$S$6*$F41,Ceilings!$S$6*14+Ceilings!$S$7*($F41-14)),IF(LEFT($D41,18)="Short-term joint s",IF($F41&lt;15,Ceilings!$S$3*$F41,Ceilings!$S$3*14+Ceilings!$S$4*($F41-14)),VLOOKUP($K41,Subsistence,2,0)*14+VLOOKUP($K41,Subsistence,3,0)*46+VLOOKUP($K41,Subsistence,4,0)*($F41-60)))))</f>
        <v/>
      </c>
      <c r="O41" s="185" t="str">
        <f>IF(OR(ISBLANK(D41),ISBLANK(H41),ISBLANK(K41),ISBLANK(L41)),"",IF(L41="0–9 km",0,IF(I41&lt;15,Ceilings!$S$3*I41,Ceilings!$S$3*14+Ceilings!$S$4*(I41-14))))</f>
        <v/>
      </c>
      <c r="P41" s="183" t="str">
        <f t="shared" si="3"/>
        <v/>
      </c>
      <c r="Q41" s="436"/>
      <c r="R41" s="266" t="str">
        <f>IF(OR(ISBLANK($D41),ISBLANK($K41),ISBLANK(Q41)),"",Ceilings!$V$3*Q41)</f>
        <v/>
      </c>
      <c r="S41" s="72" t="str">
        <f t="shared" si="6"/>
        <v/>
      </c>
    </row>
    <row r="42" spans="1:19" ht="15.75" customHeight="1">
      <c r="A42" s="506"/>
      <c r="B42" s="51" t="str">
        <f>IF(ISBLANK(A42),"",VLOOKUP(A42,Management!$A$11:$C$25,2,0))</f>
        <v/>
      </c>
      <c r="C42" s="437"/>
      <c r="D42" s="58"/>
      <c r="E42" s="437"/>
      <c r="F42" s="434"/>
      <c r="G42" s="95" t="str">
        <f t="shared" si="0"/>
        <v/>
      </c>
      <c r="H42" s="435"/>
      <c r="I42" s="434"/>
      <c r="J42" s="95" t="str">
        <f t="shared" si="1"/>
        <v/>
      </c>
      <c r="K42" s="81"/>
      <c r="L42" s="362"/>
      <c r="M42" s="256" t="str">
        <f t="shared" si="5"/>
        <v/>
      </c>
      <c r="N42" s="184" t="str">
        <f>IF(OR(ISBLANK($D42),ISBLANK($K42),ISBLANK($L42)),"",IF($L42="0–9 km",0,IF(LEFT($D42,18)="Short-term blended",IF($F42&lt;15,Ceilings!$S$6*$F42,Ceilings!$S$6*14+Ceilings!$S$7*($F42-14)),IF(LEFT($D42,18)="Short-term joint s",IF($F42&lt;15,Ceilings!$S$3*$F42,Ceilings!$S$3*14+Ceilings!$S$4*($F42-14)),VLOOKUP($K42,Subsistence,2,0)*14+VLOOKUP($K42,Subsistence,3,0)*46+VLOOKUP($K42,Subsistence,4,0)*($F42-60)))))</f>
        <v/>
      </c>
      <c r="O42" s="185" t="str">
        <f>IF(OR(ISBLANK(D42),ISBLANK(H42),ISBLANK(K42),ISBLANK(L42)),"",IF(L42="0–9 km",0,IF(I42&lt;15,Ceilings!$S$3*I42,Ceilings!$S$3*14+Ceilings!$S$4*(I42-14))))</f>
        <v/>
      </c>
      <c r="P42" s="183" t="str">
        <f t="shared" si="3"/>
        <v/>
      </c>
      <c r="Q42" s="436"/>
      <c r="R42" s="266" t="str">
        <f>IF(OR(ISBLANK($D42),ISBLANK($K42),ISBLANK(Q42)),"",Ceilings!$V$3*Q42)</f>
        <v/>
      </c>
      <c r="S42" s="72" t="str">
        <f t="shared" si="6"/>
        <v/>
      </c>
    </row>
    <row r="43" spans="1:19" ht="15.75" customHeight="1">
      <c r="A43" s="506"/>
      <c r="B43" s="51" t="str">
        <f>IF(ISBLANK(A43),"",VLOOKUP(A43,Management!$A$11:$C$25,2,0))</f>
        <v/>
      </c>
      <c r="C43" s="437"/>
      <c r="D43" s="58"/>
      <c r="E43" s="437"/>
      <c r="F43" s="434"/>
      <c r="G43" s="95" t="str">
        <f t="shared" si="0"/>
        <v/>
      </c>
      <c r="H43" s="435"/>
      <c r="I43" s="434"/>
      <c r="J43" s="95" t="str">
        <f t="shared" si="1"/>
        <v/>
      </c>
      <c r="K43" s="81"/>
      <c r="L43" s="362"/>
      <c r="M43" s="256" t="str">
        <f t="shared" si="5"/>
        <v/>
      </c>
      <c r="N43" s="184" t="str">
        <f>IF(OR(ISBLANK($D43),ISBLANK($K43),ISBLANK($L43)),"",IF($L43="0–9 km",0,IF(LEFT($D43,18)="Short-term blended",IF($F43&lt;15,Ceilings!$S$6*$F43,Ceilings!$S$6*14+Ceilings!$S$7*($F43-14)),IF(LEFT($D43,18)="Short-term joint s",IF($F43&lt;15,Ceilings!$S$3*$F43,Ceilings!$S$3*14+Ceilings!$S$4*($F43-14)),VLOOKUP($K43,Subsistence,2,0)*14+VLOOKUP($K43,Subsistence,3,0)*46+VLOOKUP($K43,Subsistence,4,0)*($F43-60)))))</f>
        <v/>
      </c>
      <c r="O43" s="185" t="str">
        <f>IF(OR(ISBLANK(D43),ISBLANK(H43),ISBLANK(K43),ISBLANK(L43)),"",IF(L43="0–9 km",0,IF(I43&lt;15,Ceilings!$S$3*I43,Ceilings!$S$3*14+Ceilings!$S$4*(I43-14))))</f>
        <v/>
      </c>
      <c r="P43" s="183" t="str">
        <f t="shared" si="3"/>
        <v/>
      </c>
      <c r="Q43" s="436"/>
      <c r="R43" s="266" t="str">
        <f>IF(OR(ISBLANK($D43),ISBLANK($K43),ISBLANK(Q43)),"",Ceilings!$V$3*Q43)</f>
        <v/>
      </c>
      <c r="S43" s="72" t="str">
        <f t="shared" si="6"/>
        <v/>
      </c>
    </row>
    <row r="44" spans="1:19" ht="15.75" customHeight="1">
      <c r="A44" s="506"/>
      <c r="B44" s="51" t="str">
        <f>IF(ISBLANK(A44),"",VLOOKUP(A44,Management!$A$11:$C$25,2,0))</f>
        <v/>
      </c>
      <c r="C44" s="437"/>
      <c r="D44" s="58"/>
      <c r="E44" s="437"/>
      <c r="F44" s="434"/>
      <c r="G44" s="95" t="str">
        <f t="shared" si="0"/>
        <v/>
      </c>
      <c r="H44" s="435"/>
      <c r="I44" s="434"/>
      <c r="J44" s="95" t="str">
        <f t="shared" si="1"/>
        <v/>
      </c>
      <c r="K44" s="81"/>
      <c r="L44" s="362"/>
      <c r="M44" s="256" t="str">
        <f t="shared" si="5"/>
        <v/>
      </c>
      <c r="N44" s="184" t="str">
        <f>IF(OR(ISBLANK($D44),ISBLANK($K44),ISBLANK($L44)),"",IF($L44="0–9 km",0,IF(LEFT($D44,18)="Short-term blended",IF($F44&lt;15,Ceilings!$S$6*$F44,Ceilings!$S$6*14+Ceilings!$S$7*($F44-14)),IF(LEFT($D44,18)="Short-term joint s",IF($F44&lt;15,Ceilings!$S$3*$F44,Ceilings!$S$3*14+Ceilings!$S$4*($F44-14)),VLOOKUP($K44,Subsistence,2,0)*14+VLOOKUP($K44,Subsistence,3,0)*46+VLOOKUP($K44,Subsistence,4,0)*($F44-60)))))</f>
        <v/>
      </c>
      <c r="O44" s="185" t="str">
        <f>IF(OR(ISBLANK(D44),ISBLANK(H44),ISBLANK(K44),ISBLANK(L44)),"",IF(L44="0–9 km",0,IF(I44&lt;15,Ceilings!$S$3*I44,Ceilings!$S$3*14+Ceilings!$S$4*(I44-14))))</f>
        <v/>
      </c>
      <c r="P44" s="183" t="str">
        <f t="shared" si="3"/>
        <v/>
      </c>
      <c r="Q44" s="436"/>
      <c r="R44" s="266" t="str">
        <f>IF(OR(ISBLANK($D44),ISBLANK($K44),ISBLANK(Q44)),"",Ceilings!$V$3*Q44)</f>
        <v/>
      </c>
      <c r="S44" s="72" t="str">
        <f t="shared" si="6"/>
        <v/>
      </c>
    </row>
    <row r="45" spans="1:19" ht="15.75" customHeight="1">
      <c r="A45" s="506"/>
      <c r="B45" s="51" t="str">
        <f>IF(ISBLANK(A45),"",VLOOKUP(A45,Management!$A$11:$C$25,2,0))</f>
        <v/>
      </c>
      <c r="C45" s="437"/>
      <c r="D45" s="58"/>
      <c r="E45" s="437"/>
      <c r="F45" s="434"/>
      <c r="G45" s="95" t="str">
        <f t="shared" si="0"/>
        <v/>
      </c>
      <c r="H45" s="435"/>
      <c r="I45" s="434"/>
      <c r="J45" s="95" t="str">
        <f t="shared" si="1"/>
        <v/>
      </c>
      <c r="K45" s="81"/>
      <c r="L45" s="362"/>
      <c r="M45" s="256" t="str">
        <f t="shared" si="5"/>
        <v/>
      </c>
      <c r="N45" s="184" t="str">
        <f>IF(OR(ISBLANK($D45),ISBLANK($K45),ISBLANK($L45)),"",IF($L45="0–9 km",0,IF(LEFT($D45,18)="Short-term blended",IF($F45&lt;15,Ceilings!$S$6*$F45,Ceilings!$S$6*14+Ceilings!$S$7*($F45-14)),IF(LEFT($D45,18)="Short-term joint s",IF($F45&lt;15,Ceilings!$S$3*$F45,Ceilings!$S$3*14+Ceilings!$S$4*($F45-14)),VLOOKUP($K45,Subsistence,2,0)*14+VLOOKUP($K45,Subsistence,3,0)*46+VLOOKUP($K45,Subsistence,4,0)*($F45-60)))))</f>
        <v/>
      </c>
      <c r="O45" s="185" t="str">
        <f>IF(OR(ISBLANK(D45),ISBLANK(H45),ISBLANK(K45),ISBLANK(L45)),"",IF(L45="0–9 km",0,IF(I45&lt;15,Ceilings!$S$3*I45,Ceilings!$S$3*14+Ceilings!$S$4*(I45-14))))</f>
        <v/>
      </c>
      <c r="P45" s="183" t="str">
        <f t="shared" si="3"/>
        <v/>
      </c>
      <c r="Q45" s="436"/>
      <c r="R45" s="266" t="str">
        <f>IF(OR(ISBLANK($D45),ISBLANK($K45),ISBLANK(Q45)),"",Ceilings!$V$3*Q45)</f>
        <v/>
      </c>
      <c r="S45" s="72" t="str">
        <f t="shared" si="6"/>
        <v/>
      </c>
    </row>
    <row r="46" spans="1:19" ht="15.75" customHeight="1">
      <c r="A46" s="506"/>
      <c r="B46" s="51" t="str">
        <f>IF(ISBLANK(A46),"",VLOOKUP(A46,Management!$A$11:$C$25,2,0))</f>
        <v/>
      </c>
      <c r="C46" s="437"/>
      <c r="D46" s="58"/>
      <c r="E46" s="437"/>
      <c r="F46" s="434"/>
      <c r="G46" s="95" t="str">
        <f t="shared" si="0"/>
        <v/>
      </c>
      <c r="H46" s="435"/>
      <c r="I46" s="434"/>
      <c r="J46" s="95" t="str">
        <f t="shared" si="1"/>
        <v/>
      </c>
      <c r="K46" s="81"/>
      <c r="L46" s="362"/>
      <c r="M46" s="256" t="str">
        <f t="shared" si="5"/>
        <v/>
      </c>
      <c r="N46" s="184" t="str">
        <f>IF(OR(ISBLANK($D46),ISBLANK($K46),ISBLANK($L46)),"",IF($L46="0–9 km",0,IF(LEFT($D46,18)="Short-term blended",IF($F46&lt;15,Ceilings!$S$6*$F46,Ceilings!$S$6*14+Ceilings!$S$7*($F46-14)),IF(LEFT($D46,18)="Short-term joint s",IF($F46&lt;15,Ceilings!$S$3*$F46,Ceilings!$S$3*14+Ceilings!$S$4*($F46-14)),VLOOKUP($K46,Subsistence,2,0)*14+VLOOKUP($K46,Subsistence,3,0)*46+VLOOKUP($K46,Subsistence,4,0)*($F46-60)))))</f>
        <v/>
      </c>
      <c r="O46" s="185" t="str">
        <f>IF(OR(ISBLANK(D46),ISBLANK(H46),ISBLANK(K46),ISBLANK(L46)),"",IF(L46="0–9 km",0,IF(I46&lt;15,Ceilings!$S$3*I46,Ceilings!$S$3*14+Ceilings!$S$4*(I46-14))))</f>
        <v/>
      </c>
      <c r="P46" s="183" t="str">
        <f t="shared" si="3"/>
        <v/>
      </c>
      <c r="Q46" s="436"/>
      <c r="R46" s="266" t="str">
        <f>IF(OR(ISBLANK($D46),ISBLANK($K46),ISBLANK(Q46)),"",Ceilings!$V$3*Q46)</f>
        <v/>
      </c>
      <c r="S46" s="72" t="str">
        <f t="shared" si="6"/>
        <v/>
      </c>
    </row>
    <row r="47" spans="1:19" ht="15.75" customHeight="1">
      <c r="A47" s="506"/>
      <c r="B47" s="51" t="str">
        <f>IF(ISBLANK(A47),"",VLOOKUP(A47,Management!$A$11:$C$25,2,0))</f>
        <v/>
      </c>
      <c r="C47" s="437"/>
      <c r="D47" s="58"/>
      <c r="E47" s="437"/>
      <c r="F47" s="434"/>
      <c r="G47" s="95" t="str">
        <f t="shared" si="0"/>
        <v/>
      </c>
      <c r="H47" s="435"/>
      <c r="I47" s="434"/>
      <c r="J47" s="95" t="str">
        <f t="shared" si="1"/>
        <v/>
      </c>
      <c r="K47" s="81"/>
      <c r="L47" s="362"/>
      <c r="M47" s="256" t="str">
        <f t="shared" si="5"/>
        <v/>
      </c>
      <c r="N47" s="184" t="str">
        <f>IF(OR(ISBLANK($D47),ISBLANK($K47),ISBLANK($L47)),"",IF($L47="0–9 km",0,IF(LEFT($D47,18)="Short-term blended",IF($F47&lt;15,Ceilings!$S$6*$F47,Ceilings!$S$6*14+Ceilings!$S$7*($F47-14)),IF(LEFT($D47,18)="Short-term joint s",IF($F47&lt;15,Ceilings!$S$3*$F47,Ceilings!$S$3*14+Ceilings!$S$4*($F47-14)),VLOOKUP($K47,Subsistence,2,0)*14+VLOOKUP($K47,Subsistence,3,0)*46+VLOOKUP($K47,Subsistence,4,0)*($F47-60)))))</f>
        <v/>
      </c>
      <c r="O47" s="185" t="str">
        <f>IF(OR(ISBLANK(D47),ISBLANK(H47),ISBLANK(K47),ISBLANK(L47)),"",IF(L47="0–9 km",0,IF(I47&lt;15,Ceilings!$S$3*I47,Ceilings!$S$3*14+Ceilings!$S$4*(I47-14))))</f>
        <v/>
      </c>
      <c r="P47" s="183" t="str">
        <f t="shared" si="3"/>
        <v/>
      </c>
      <c r="Q47" s="436"/>
      <c r="R47" s="266" t="str">
        <f>IF(OR(ISBLANK($D47),ISBLANK($K47),ISBLANK(Q47)),"",Ceilings!$V$3*Q47)</f>
        <v/>
      </c>
      <c r="S47" s="72" t="str">
        <f t="shared" si="6"/>
        <v/>
      </c>
    </row>
    <row r="48" spans="1:19" ht="15.75" customHeight="1">
      <c r="A48" s="506"/>
      <c r="B48" s="51" t="str">
        <f>IF(ISBLANK(A48),"",VLOOKUP(A48,Management!$A$11:$C$25,2,0))</f>
        <v/>
      </c>
      <c r="C48" s="437"/>
      <c r="D48" s="58"/>
      <c r="E48" s="437"/>
      <c r="F48" s="434"/>
      <c r="G48" s="95" t="str">
        <f t="shared" si="0"/>
        <v/>
      </c>
      <c r="H48" s="435"/>
      <c r="I48" s="434"/>
      <c r="J48" s="95" t="str">
        <f t="shared" si="1"/>
        <v/>
      </c>
      <c r="K48" s="81"/>
      <c r="L48" s="362"/>
      <c r="M48" s="256" t="str">
        <f t="shared" si="5"/>
        <v/>
      </c>
      <c r="N48" s="184" t="str">
        <f>IF(OR(ISBLANK($D48),ISBLANK($K48),ISBLANK($L48)),"",IF($L48="0–9 km",0,IF(LEFT($D48,18)="Short-term blended",IF($F48&lt;15,Ceilings!$S$6*$F48,Ceilings!$S$6*14+Ceilings!$S$7*($F48-14)),IF(LEFT($D48,18)="Short-term joint s",IF($F48&lt;15,Ceilings!$S$3*$F48,Ceilings!$S$3*14+Ceilings!$S$4*($F48-14)),VLOOKUP($K48,Subsistence,2,0)*14+VLOOKUP($K48,Subsistence,3,0)*46+VLOOKUP($K48,Subsistence,4,0)*($F48-60)))))</f>
        <v/>
      </c>
      <c r="O48" s="185" t="str">
        <f>IF(OR(ISBLANK(D48),ISBLANK(H48),ISBLANK(K48),ISBLANK(L48)),"",IF(L48="0–9 km",0,IF(I48&lt;15,Ceilings!$S$3*I48,Ceilings!$S$3*14+Ceilings!$S$4*(I48-14))))</f>
        <v/>
      </c>
      <c r="P48" s="183" t="str">
        <f t="shared" si="3"/>
        <v/>
      </c>
      <c r="Q48" s="436"/>
      <c r="R48" s="266" t="str">
        <f>IF(OR(ISBLANK($D48),ISBLANK($K48),ISBLANK(Q48)),"",Ceilings!$V$3*Q48)</f>
        <v/>
      </c>
      <c r="S48" s="72" t="str">
        <f t="shared" si="6"/>
        <v/>
      </c>
    </row>
    <row r="49" spans="1:19" ht="15.75" customHeight="1">
      <c r="A49" s="506"/>
      <c r="B49" s="51" t="str">
        <f>IF(ISBLANK(A49),"",VLOOKUP(A49,Management!$A$11:$C$25,2,0))</f>
        <v/>
      </c>
      <c r="C49" s="437"/>
      <c r="D49" s="58"/>
      <c r="E49" s="437"/>
      <c r="F49" s="434"/>
      <c r="G49" s="95" t="str">
        <f t="shared" si="0"/>
        <v/>
      </c>
      <c r="H49" s="435"/>
      <c r="I49" s="434"/>
      <c r="J49" s="95" t="str">
        <f t="shared" si="1"/>
        <v/>
      </c>
      <c r="K49" s="81"/>
      <c r="L49" s="362"/>
      <c r="M49" s="256" t="str">
        <f t="shared" si="5"/>
        <v/>
      </c>
      <c r="N49" s="184" t="str">
        <f>IF(OR(ISBLANK($D49),ISBLANK($K49),ISBLANK($L49)),"",IF($L49="0–9 km",0,IF(LEFT($D49,18)="Short-term blended",IF($F49&lt;15,Ceilings!$S$6*$F49,Ceilings!$S$6*14+Ceilings!$S$7*($F49-14)),IF(LEFT($D49,18)="Short-term joint s",IF($F49&lt;15,Ceilings!$S$3*$F49,Ceilings!$S$3*14+Ceilings!$S$4*($F49-14)),VLOOKUP($K49,Subsistence,2,0)*14+VLOOKUP($K49,Subsistence,3,0)*46+VLOOKUP($K49,Subsistence,4,0)*($F49-60)))))</f>
        <v/>
      </c>
      <c r="O49" s="185" t="str">
        <f>IF(OR(ISBLANK(D49),ISBLANK(H49),ISBLANK(K49),ISBLANK(L49)),"",IF(L49="0–9 km",0,IF(I49&lt;15,Ceilings!$S$3*I49,Ceilings!$S$3*14+Ceilings!$S$4*(I49-14))))</f>
        <v/>
      </c>
      <c r="P49" s="183" t="str">
        <f t="shared" si="3"/>
        <v/>
      </c>
      <c r="Q49" s="436"/>
      <c r="R49" s="266" t="str">
        <f>IF(OR(ISBLANK($D49),ISBLANK($K49),ISBLANK(Q49)),"",Ceilings!$V$3*Q49)</f>
        <v/>
      </c>
      <c r="S49" s="72" t="str">
        <f t="shared" si="6"/>
        <v/>
      </c>
    </row>
    <row r="50" spans="1:19" ht="15.75" customHeight="1">
      <c r="A50" s="506"/>
      <c r="B50" s="51" t="str">
        <f>IF(ISBLANK(A50),"",VLOOKUP(A50,Management!$A$11:$C$25,2,0))</f>
        <v/>
      </c>
      <c r="C50" s="437"/>
      <c r="D50" s="58"/>
      <c r="E50" s="437"/>
      <c r="F50" s="434"/>
      <c r="G50" s="95" t="str">
        <f t="shared" si="0"/>
        <v/>
      </c>
      <c r="H50" s="435"/>
      <c r="I50" s="434"/>
      <c r="J50" s="95" t="str">
        <f t="shared" si="1"/>
        <v/>
      </c>
      <c r="K50" s="81"/>
      <c r="L50" s="362"/>
      <c r="M50" s="256" t="str">
        <f t="shared" si="5"/>
        <v/>
      </c>
      <c r="N50" s="184" t="str">
        <f>IF(OR(ISBLANK($D50),ISBLANK($K50),ISBLANK($L50)),"",IF($L50="0–9 km",0,IF(LEFT($D50,18)="Short-term blended",IF($F50&lt;15,Ceilings!$S$6*$F50,Ceilings!$S$6*14+Ceilings!$S$7*($F50-14)),IF(LEFT($D50,18)="Short-term joint s",IF($F50&lt;15,Ceilings!$S$3*$F50,Ceilings!$S$3*14+Ceilings!$S$4*($F50-14)),VLOOKUP($K50,Subsistence,2,0)*14+VLOOKUP($K50,Subsistence,3,0)*46+VLOOKUP($K50,Subsistence,4,0)*($F50-60)))))</f>
        <v/>
      </c>
      <c r="O50" s="185" t="str">
        <f>IF(OR(ISBLANK(D50),ISBLANK(H50),ISBLANK(K50),ISBLANK(L50)),"",IF(L50="0–9 km",0,IF(I50&lt;15,Ceilings!$S$3*I50,Ceilings!$S$3*14+Ceilings!$S$4*(I50-14))))</f>
        <v/>
      </c>
      <c r="P50" s="183" t="str">
        <f t="shared" si="3"/>
        <v/>
      </c>
      <c r="Q50" s="436"/>
      <c r="R50" s="266" t="str">
        <f>IF(OR(ISBLANK($D50),ISBLANK($K50),ISBLANK(Q50)),"",Ceilings!$V$3*Q50)</f>
        <v/>
      </c>
      <c r="S50" s="72" t="str">
        <f t="shared" si="6"/>
        <v/>
      </c>
    </row>
    <row r="51" spans="1:19" ht="15.75" customHeight="1">
      <c r="A51" s="506"/>
      <c r="B51" s="51" t="str">
        <f>IF(ISBLANK(A51),"",VLOOKUP(A51,Management!$A$11:$C$25,2,0))</f>
        <v/>
      </c>
      <c r="C51" s="437"/>
      <c r="D51" s="58"/>
      <c r="E51" s="437"/>
      <c r="F51" s="434"/>
      <c r="G51" s="95" t="str">
        <f t="shared" si="0"/>
        <v/>
      </c>
      <c r="H51" s="435"/>
      <c r="I51" s="434"/>
      <c r="J51" s="95" t="str">
        <f t="shared" si="1"/>
        <v/>
      </c>
      <c r="K51" s="81"/>
      <c r="L51" s="362"/>
      <c r="M51" s="256" t="str">
        <f t="shared" si="5"/>
        <v/>
      </c>
      <c r="N51" s="184" t="str">
        <f>IF(OR(ISBLANK($D51),ISBLANK($K51),ISBLANK($L51)),"",IF($L51="0–9 km",0,IF(LEFT($D51,18)="Short-term blended",IF($F51&lt;15,Ceilings!$S$6*$F51,Ceilings!$S$6*14+Ceilings!$S$7*($F51-14)),IF(LEFT($D51,18)="Short-term joint s",IF($F51&lt;15,Ceilings!$S$3*$F51,Ceilings!$S$3*14+Ceilings!$S$4*($F51-14)),VLOOKUP($K51,Subsistence,2,0)*14+VLOOKUP($K51,Subsistence,3,0)*46+VLOOKUP($K51,Subsistence,4,0)*($F51-60)))))</f>
        <v/>
      </c>
      <c r="O51" s="185" t="str">
        <f>IF(OR(ISBLANK(D51),ISBLANK(H51),ISBLANK(K51),ISBLANK(L51)),"",IF(L51="0–9 km",0,IF(I51&lt;15,Ceilings!$S$3*I51,Ceilings!$S$3*14+Ceilings!$S$4*(I51-14))))</f>
        <v/>
      </c>
      <c r="P51" s="183" t="str">
        <f t="shared" si="3"/>
        <v/>
      </c>
      <c r="Q51" s="436"/>
      <c r="R51" s="266" t="str">
        <f>IF(OR(ISBLANK($D51),ISBLANK($K51),ISBLANK(Q51)),"",Ceilings!$V$3*Q51)</f>
        <v/>
      </c>
      <c r="S51" s="72" t="str">
        <f t="shared" si="6"/>
        <v/>
      </c>
    </row>
    <row r="52" spans="1:19" ht="15.75" customHeight="1">
      <c r="A52" s="506"/>
      <c r="B52" s="51" t="str">
        <f>IF(ISBLANK(A52),"",VLOOKUP(A52,Management!$A$11:$C$25,2,0))</f>
        <v/>
      </c>
      <c r="C52" s="437"/>
      <c r="D52" s="58"/>
      <c r="E52" s="437"/>
      <c r="F52" s="434"/>
      <c r="G52" s="95" t="str">
        <f t="shared" si="0"/>
        <v/>
      </c>
      <c r="H52" s="435"/>
      <c r="I52" s="434"/>
      <c r="J52" s="95" t="str">
        <f t="shared" si="1"/>
        <v/>
      </c>
      <c r="K52" s="81"/>
      <c r="L52" s="362"/>
      <c r="M52" s="256" t="str">
        <f t="shared" si="5"/>
        <v/>
      </c>
      <c r="N52" s="184" t="str">
        <f>IF(OR(ISBLANK($D52),ISBLANK($K52),ISBLANK($L52)),"",IF($L52="0–9 km",0,IF(LEFT($D52,18)="Short-term blended",IF($F52&lt;15,Ceilings!$S$6*$F52,Ceilings!$S$6*14+Ceilings!$S$7*($F52-14)),IF(LEFT($D52,18)="Short-term joint s",IF($F52&lt;15,Ceilings!$S$3*$F52,Ceilings!$S$3*14+Ceilings!$S$4*($F52-14)),VLOOKUP($K52,Subsistence,2,0)*14+VLOOKUP($K52,Subsistence,3,0)*46+VLOOKUP($K52,Subsistence,4,0)*($F52-60)))))</f>
        <v/>
      </c>
      <c r="O52" s="185" t="str">
        <f>IF(OR(ISBLANK(D52),ISBLANK(H52),ISBLANK(K52),ISBLANK(L52)),"",IF(L52="0–9 km",0,IF(I52&lt;15,Ceilings!$S$3*I52,Ceilings!$S$3*14+Ceilings!$S$4*(I52-14))))</f>
        <v/>
      </c>
      <c r="P52" s="183" t="str">
        <f t="shared" si="3"/>
        <v/>
      </c>
      <c r="Q52" s="436"/>
      <c r="R52" s="266" t="str">
        <f>IF(OR(ISBLANK($D52),ISBLANK($K52),ISBLANK(Q52)),"",Ceilings!$V$3*Q52)</f>
        <v/>
      </c>
      <c r="S52" s="72" t="str">
        <f t="shared" si="6"/>
        <v/>
      </c>
    </row>
    <row r="53" spans="1:19" ht="15.75" customHeight="1">
      <c r="A53" s="506"/>
      <c r="B53" s="51" t="str">
        <f>IF(ISBLANK(A53),"",VLOOKUP(A53,Management!$A$11:$C$25,2,0))</f>
        <v/>
      </c>
      <c r="C53" s="437"/>
      <c r="D53" s="58"/>
      <c r="E53" s="437"/>
      <c r="F53" s="434"/>
      <c r="G53" s="95" t="str">
        <f t="shared" si="0"/>
        <v/>
      </c>
      <c r="H53" s="435"/>
      <c r="I53" s="434"/>
      <c r="J53" s="95" t="str">
        <f t="shared" si="1"/>
        <v/>
      </c>
      <c r="K53" s="81"/>
      <c r="L53" s="362"/>
      <c r="M53" s="256" t="str">
        <f t="shared" si="5"/>
        <v/>
      </c>
      <c r="N53" s="184" t="str">
        <f>IF(OR(ISBLANK($D53),ISBLANK($K53),ISBLANK($L53)),"",IF($L53="0–9 km",0,IF(LEFT($D53,18)="Short-term blended",IF($F53&lt;15,Ceilings!$S$6*$F53,Ceilings!$S$6*14+Ceilings!$S$7*($F53-14)),IF(LEFT($D53,18)="Short-term joint s",IF($F53&lt;15,Ceilings!$S$3*$F53,Ceilings!$S$3*14+Ceilings!$S$4*($F53-14)),VLOOKUP($K53,Subsistence,2,0)*14+VLOOKUP($K53,Subsistence,3,0)*46+VLOOKUP($K53,Subsistence,4,0)*($F53-60)))))</f>
        <v/>
      </c>
      <c r="O53" s="185" t="str">
        <f>IF(OR(ISBLANK(D53),ISBLANK(H53),ISBLANK(K53),ISBLANK(L53)),"",IF(L53="0–9 km",0,IF(I53&lt;15,Ceilings!$S$3*I53,Ceilings!$S$3*14+Ceilings!$S$4*(I53-14))))</f>
        <v/>
      </c>
      <c r="P53" s="183" t="str">
        <f t="shared" si="3"/>
        <v/>
      </c>
      <c r="Q53" s="436"/>
      <c r="R53" s="266" t="str">
        <f>IF(OR(ISBLANK($D53),ISBLANK($K53),ISBLANK(Q53)),"",Ceilings!$V$3*Q53)</f>
        <v/>
      </c>
      <c r="S53" s="72" t="str">
        <f t="shared" si="6"/>
        <v/>
      </c>
    </row>
    <row r="54" spans="1:19" ht="15.75" customHeight="1">
      <c r="A54" s="506"/>
      <c r="B54" s="51" t="str">
        <f>IF(ISBLANK(A54),"",VLOOKUP(A54,Management!$A$11:$C$25,2,0))</f>
        <v/>
      </c>
      <c r="C54" s="437"/>
      <c r="D54" s="58"/>
      <c r="E54" s="437"/>
      <c r="F54" s="434"/>
      <c r="G54" s="95" t="str">
        <f t="shared" ref="G54:G76" si="7">IF(ISBLANK($D54),"","days")</f>
        <v/>
      </c>
      <c r="H54" s="435"/>
      <c r="I54" s="434"/>
      <c r="J54" s="95" t="str">
        <f t="shared" ref="J54:J76" si="8">IF(ISBLANK($D54),"","days")</f>
        <v/>
      </c>
      <c r="K54" s="81"/>
      <c r="L54" s="362"/>
      <c r="M54" s="256" t="str">
        <f t="shared" si="5"/>
        <v/>
      </c>
      <c r="N54" s="184" t="str">
        <f>IF(OR(ISBLANK($D54),ISBLANK($K54),ISBLANK($L54)),"",IF($L54="0–9 km",0,IF(LEFT($D54,18)="Short-term blended",IF($F54&lt;15,Ceilings!$S$6*$F54,Ceilings!$S$6*14+Ceilings!$S$7*($F54-14)),IF(LEFT($D54,18)="Short-term joint s",IF($F54&lt;15,Ceilings!$S$3*$F54,Ceilings!$S$3*14+Ceilings!$S$4*($F54-14)),VLOOKUP($K54,Subsistence,2,0)*14+VLOOKUP($K54,Subsistence,3,0)*46+VLOOKUP($K54,Subsistence,4,0)*($F54-60)))))</f>
        <v/>
      </c>
      <c r="O54" s="185" t="str">
        <f>IF(OR(ISBLANK(D54),ISBLANK(H54),ISBLANK(K54),ISBLANK(L54)),"",IF(L54="0–9 km",0,IF(I54&lt;15,Ceilings!$S$3*I54,Ceilings!$S$3*14+Ceilings!$S$4*(I54-14))))</f>
        <v/>
      </c>
      <c r="P54" s="183" t="str">
        <f t="shared" ref="P54:P76" si="9">IF(N54="","",$E54*N54+IF(O54="",0,$H54*O54))</f>
        <v/>
      </c>
      <c r="Q54" s="436"/>
      <c r="R54" s="266" t="str">
        <f>IF(OR(ISBLANK($D54),ISBLANK($K54),ISBLANK(Q54)),"",Ceilings!$V$3*Q54)</f>
        <v/>
      </c>
      <c r="S54" s="72" t="str">
        <f t="shared" si="6"/>
        <v/>
      </c>
    </row>
    <row r="55" spans="1:19" ht="15.75" customHeight="1">
      <c r="A55" s="506"/>
      <c r="B55" s="51" t="str">
        <f>IF(ISBLANK(A55),"",VLOOKUP(A55,Management!$A$11:$C$25,2,0))</f>
        <v/>
      </c>
      <c r="C55" s="437"/>
      <c r="D55" s="58"/>
      <c r="E55" s="437"/>
      <c r="F55" s="434"/>
      <c r="G55" s="95" t="str">
        <f t="shared" si="7"/>
        <v/>
      </c>
      <c r="H55" s="435"/>
      <c r="I55" s="434"/>
      <c r="J55" s="95" t="str">
        <f t="shared" si="8"/>
        <v/>
      </c>
      <c r="K55" s="81"/>
      <c r="L55" s="362"/>
      <c r="M55" s="256" t="str">
        <f t="shared" si="5"/>
        <v/>
      </c>
      <c r="N55" s="184" t="str">
        <f>IF(OR(ISBLANK($D55),ISBLANK($K55),ISBLANK($L55)),"",IF($L55="0–9 km",0,IF(LEFT($D55,18)="Short-term blended",IF($F55&lt;15,Ceilings!$S$6*$F55,Ceilings!$S$6*14+Ceilings!$S$7*($F55-14)),IF(LEFT($D55,18)="Short-term joint s",IF($F55&lt;15,Ceilings!$S$3*$F55,Ceilings!$S$3*14+Ceilings!$S$4*($F55-14)),VLOOKUP($K55,Subsistence,2,0)*14+VLOOKUP($K55,Subsistence,3,0)*46+VLOOKUP($K55,Subsistence,4,0)*($F55-60)))))</f>
        <v/>
      </c>
      <c r="O55" s="185" t="str">
        <f>IF(OR(ISBLANK(D55),ISBLANK(H55),ISBLANK(K55),ISBLANK(L55)),"",IF(L55="0–9 km",0,IF(I55&lt;15,Ceilings!$S$3*I55,Ceilings!$S$3*14+Ceilings!$S$4*(I55-14))))</f>
        <v/>
      </c>
      <c r="P55" s="183" t="str">
        <f t="shared" si="9"/>
        <v/>
      </c>
      <c r="Q55" s="436"/>
      <c r="R55" s="266" t="str">
        <f>IF(OR(ISBLANK($D55),ISBLANK($K55),ISBLANK(Q55)),"",Ceilings!$V$3*Q55)</f>
        <v/>
      </c>
      <c r="S55" s="72" t="str">
        <f t="shared" si="6"/>
        <v/>
      </c>
    </row>
    <row r="56" spans="1:19" ht="15.75" customHeight="1">
      <c r="A56" s="506"/>
      <c r="B56" s="51" t="str">
        <f>IF(ISBLANK(A56),"",VLOOKUP(A56,Management!$A$11:$C$25,2,0))</f>
        <v/>
      </c>
      <c r="C56" s="437"/>
      <c r="D56" s="58"/>
      <c r="E56" s="437"/>
      <c r="F56" s="434"/>
      <c r="G56" s="95" t="str">
        <f t="shared" si="7"/>
        <v/>
      </c>
      <c r="H56" s="435"/>
      <c r="I56" s="434"/>
      <c r="J56" s="95" t="str">
        <f t="shared" si="8"/>
        <v/>
      </c>
      <c r="K56" s="81"/>
      <c r="L56" s="362"/>
      <c r="M56" s="256" t="str">
        <f t="shared" si="5"/>
        <v/>
      </c>
      <c r="N56" s="184" t="str">
        <f>IF(OR(ISBLANK($D56),ISBLANK($K56),ISBLANK($L56)),"",IF($L56="0–9 km",0,IF(LEFT($D56,18)="Short-term blended",IF($F56&lt;15,Ceilings!$S$6*$F56,Ceilings!$S$6*14+Ceilings!$S$7*($F56-14)),IF(LEFT($D56,18)="Short-term joint s",IF($F56&lt;15,Ceilings!$S$3*$F56,Ceilings!$S$3*14+Ceilings!$S$4*($F56-14)),VLOOKUP($K56,Subsistence,2,0)*14+VLOOKUP($K56,Subsistence,3,0)*46+VLOOKUP($K56,Subsistence,4,0)*($F56-60)))))</f>
        <v/>
      </c>
      <c r="O56" s="185" t="str">
        <f>IF(OR(ISBLANK(D56),ISBLANK(H56),ISBLANK(K56),ISBLANK(L56)),"",IF(L56="0–9 km",0,IF(I56&lt;15,Ceilings!$S$3*I56,Ceilings!$S$3*14+Ceilings!$S$4*(I56-14))))</f>
        <v/>
      </c>
      <c r="P56" s="183" t="str">
        <f t="shared" si="9"/>
        <v/>
      </c>
      <c r="Q56" s="436"/>
      <c r="R56" s="266" t="str">
        <f>IF(OR(ISBLANK($D56),ISBLANK($K56),ISBLANK(Q56)),"",Ceilings!$V$3*Q56)</f>
        <v/>
      </c>
      <c r="S56" s="72" t="str">
        <f t="shared" si="6"/>
        <v/>
      </c>
    </row>
    <row r="57" spans="1:19" ht="15.75" customHeight="1">
      <c r="A57" s="506"/>
      <c r="B57" s="51" t="str">
        <f>IF(ISBLANK(A57),"",VLOOKUP(A57,Management!$A$11:$C$25,2,0))</f>
        <v/>
      </c>
      <c r="C57" s="437"/>
      <c r="D57" s="58"/>
      <c r="E57" s="437"/>
      <c r="F57" s="434"/>
      <c r="G57" s="95" t="str">
        <f t="shared" si="7"/>
        <v/>
      </c>
      <c r="H57" s="435"/>
      <c r="I57" s="434"/>
      <c r="J57" s="95" t="str">
        <f t="shared" si="8"/>
        <v/>
      </c>
      <c r="K57" s="81"/>
      <c r="L57" s="362"/>
      <c r="M57" s="256" t="str">
        <f t="shared" si="5"/>
        <v/>
      </c>
      <c r="N57" s="184" t="str">
        <f>IF(OR(ISBLANK($D57),ISBLANK($K57),ISBLANK($L57)),"",IF($L57="0–9 km",0,IF(LEFT($D57,18)="Short-term blended",IF($F57&lt;15,Ceilings!$S$6*$F57,Ceilings!$S$6*14+Ceilings!$S$7*($F57-14)),IF(LEFT($D57,18)="Short-term joint s",IF($F57&lt;15,Ceilings!$S$3*$F57,Ceilings!$S$3*14+Ceilings!$S$4*($F57-14)),VLOOKUP($K57,Subsistence,2,0)*14+VLOOKUP($K57,Subsistence,3,0)*46+VLOOKUP($K57,Subsistence,4,0)*($F57-60)))))</f>
        <v/>
      </c>
      <c r="O57" s="185" t="str">
        <f>IF(OR(ISBLANK(D57),ISBLANK(H57),ISBLANK(K57),ISBLANK(L57)),"",IF(L57="0–9 km",0,IF(I57&lt;15,Ceilings!$S$3*I57,Ceilings!$S$3*14+Ceilings!$S$4*(I57-14))))</f>
        <v/>
      </c>
      <c r="P57" s="183" t="str">
        <f t="shared" si="9"/>
        <v/>
      </c>
      <c r="Q57" s="436"/>
      <c r="R57" s="266" t="str">
        <f>IF(OR(ISBLANK($D57),ISBLANK($K57),ISBLANK(Q57)),"",Ceilings!$V$3*Q57)</f>
        <v/>
      </c>
      <c r="S57" s="72" t="str">
        <f t="shared" si="6"/>
        <v/>
      </c>
    </row>
    <row r="58" spans="1:19" ht="15.75" customHeight="1">
      <c r="A58" s="506"/>
      <c r="B58" s="51" t="str">
        <f>IF(ISBLANK(A58),"",VLOOKUP(A58,Management!$A$11:$C$25,2,0))</f>
        <v/>
      </c>
      <c r="C58" s="437"/>
      <c r="D58" s="58"/>
      <c r="E58" s="437"/>
      <c r="F58" s="434"/>
      <c r="G58" s="95" t="str">
        <f t="shared" si="7"/>
        <v/>
      </c>
      <c r="H58" s="435"/>
      <c r="I58" s="434"/>
      <c r="J58" s="95" t="str">
        <f t="shared" si="8"/>
        <v/>
      </c>
      <c r="K58" s="81"/>
      <c r="L58" s="362"/>
      <c r="M58" s="256" t="str">
        <f t="shared" si="5"/>
        <v/>
      </c>
      <c r="N58" s="184" t="str">
        <f>IF(OR(ISBLANK($D58),ISBLANK($K58),ISBLANK($L58)),"",IF($L58="0–9 km",0,IF(LEFT($D58,18)="Short-term blended",IF($F58&lt;15,Ceilings!$S$6*$F58,Ceilings!$S$6*14+Ceilings!$S$7*($F58-14)),IF(LEFT($D58,18)="Short-term joint s",IF($F58&lt;15,Ceilings!$S$3*$F58,Ceilings!$S$3*14+Ceilings!$S$4*($F58-14)),VLOOKUP($K58,Subsistence,2,0)*14+VLOOKUP($K58,Subsistence,3,0)*46+VLOOKUP($K58,Subsistence,4,0)*($F58-60)))))</f>
        <v/>
      </c>
      <c r="O58" s="185" t="str">
        <f>IF(OR(ISBLANK(D58),ISBLANK(H58),ISBLANK(K58),ISBLANK(L58)),"",IF(L58="0–9 km",0,IF(I58&lt;15,Ceilings!$S$3*I58,Ceilings!$S$3*14+Ceilings!$S$4*(I58-14))))</f>
        <v/>
      </c>
      <c r="P58" s="183" t="str">
        <f t="shared" si="9"/>
        <v/>
      </c>
      <c r="Q58" s="436"/>
      <c r="R58" s="266" t="str">
        <f>IF(OR(ISBLANK($D58),ISBLANK($K58),ISBLANK(Q58)),"",Ceilings!$V$3*Q58)</f>
        <v/>
      </c>
      <c r="S58" s="72" t="str">
        <f t="shared" si="6"/>
        <v/>
      </c>
    </row>
    <row r="59" spans="1:19" ht="15.75" customHeight="1">
      <c r="A59" s="506"/>
      <c r="B59" s="51" t="str">
        <f>IF(ISBLANK(A59),"",VLOOKUP(A59,Management!$A$11:$C$25,2,0))</f>
        <v/>
      </c>
      <c r="C59" s="437"/>
      <c r="D59" s="58"/>
      <c r="E59" s="437"/>
      <c r="F59" s="434"/>
      <c r="G59" s="95" t="str">
        <f t="shared" si="7"/>
        <v/>
      </c>
      <c r="H59" s="435"/>
      <c r="I59" s="434"/>
      <c r="J59" s="95" t="str">
        <f t="shared" si="8"/>
        <v/>
      </c>
      <c r="K59" s="81"/>
      <c r="L59" s="362"/>
      <c r="M59" s="256" t="str">
        <f t="shared" si="5"/>
        <v/>
      </c>
      <c r="N59" s="184" t="str">
        <f>IF(OR(ISBLANK($D59),ISBLANK($K59),ISBLANK($L59)),"",IF($L59="0–9 km",0,IF(LEFT($D59,18)="Short-term blended",IF($F59&lt;15,Ceilings!$S$6*$F59,Ceilings!$S$6*14+Ceilings!$S$7*($F59-14)),IF(LEFT($D59,18)="Short-term joint s",IF($F59&lt;15,Ceilings!$S$3*$F59,Ceilings!$S$3*14+Ceilings!$S$4*($F59-14)),VLOOKUP($K59,Subsistence,2,0)*14+VLOOKUP($K59,Subsistence,3,0)*46+VLOOKUP($K59,Subsistence,4,0)*($F59-60)))))</f>
        <v/>
      </c>
      <c r="O59" s="185" t="str">
        <f>IF(OR(ISBLANK(D59),ISBLANK(H59),ISBLANK(K59),ISBLANK(L59)),"",IF(L59="0–9 km",0,IF(I59&lt;15,Ceilings!$S$3*I59,Ceilings!$S$3*14+Ceilings!$S$4*(I59-14))))</f>
        <v/>
      </c>
      <c r="P59" s="183" t="str">
        <f t="shared" si="9"/>
        <v/>
      </c>
      <c r="Q59" s="436"/>
      <c r="R59" s="266" t="str">
        <f>IF(OR(ISBLANK($D59),ISBLANK($K59),ISBLANK(Q59)),"",Ceilings!$V$3*Q59)</f>
        <v/>
      </c>
      <c r="S59" s="72" t="str">
        <f t="shared" si="6"/>
        <v/>
      </c>
    </row>
    <row r="60" spans="1:19" ht="15.75" customHeight="1">
      <c r="A60" s="506"/>
      <c r="B60" s="51" t="str">
        <f>IF(ISBLANK(A60),"",VLOOKUP(A60,Management!$A$11:$C$25,2,0))</f>
        <v/>
      </c>
      <c r="C60" s="437"/>
      <c r="D60" s="58"/>
      <c r="E60" s="437"/>
      <c r="F60" s="434"/>
      <c r="G60" s="95" t="str">
        <f t="shared" si="7"/>
        <v/>
      </c>
      <c r="H60" s="435"/>
      <c r="I60" s="434"/>
      <c r="J60" s="95" t="str">
        <f t="shared" si="8"/>
        <v/>
      </c>
      <c r="K60" s="81"/>
      <c r="L60" s="362"/>
      <c r="M60" s="256" t="str">
        <f t="shared" si="5"/>
        <v/>
      </c>
      <c r="N60" s="184" t="str">
        <f>IF(OR(ISBLANK($D60),ISBLANK($K60),ISBLANK($L60)),"",IF($L60="0–9 km",0,IF(LEFT($D60,18)="Short-term blended",IF($F60&lt;15,Ceilings!$S$6*$F60,Ceilings!$S$6*14+Ceilings!$S$7*($F60-14)),IF(LEFT($D60,18)="Short-term joint s",IF($F60&lt;15,Ceilings!$S$3*$F60,Ceilings!$S$3*14+Ceilings!$S$4*($F60-14)),VLOOKUP($K60,Subsistence,2,0)*14+VLOOKUP($K60,Subsistence,3,0)*46+VLOOKUP($K60,Subsistence,4,0)*($F60-60)))))</f>
        <v/>
      </c>
      <c r="O60" s="185" t="str">
        <f>IF(OR(ISBLANK(D60),ISBLANK(H60),ISBLANK(K60),ISBLANK(L60)),"",IF(L60="0–9 km",0,IF(I60&lt;15,Ceilings!$S$3*I60,Ceilings!$S$3*14+Ceilings!$S$4*(I60-14))))</f>
        <v/>
      </c>
      <c r="P60" s="183" t="str">
        <f t="shared" si="9"/>
        <v/>
      </c>
      <c r="Q60" s="436"/>
      <c r="R60" s="266" t="str">
        <f>IF(OR(ISBLANK($D60),ISBLANK($K60),ISBLANK(Q60)),"",Ceilings!$V$3*Q60)</f>
        <v/>
      </c>
      <c r="S60" s="72" t="str">
        <f t="shared" si="6"/>
        <v/>
      </c>
    </row>
    <row r="61" spans="1:19" ht="15.75" customHeight="1">
      <c r="A61" s="506"/>
      <c r="B61" s="51" t="str">
        <f>IF(ISBLANK(A61),"",VLOOKUP(A61,Management!$A$11:$C$25,2,0))</f>
        <v/>
      </c>
      <c r="C61" s="437"/>
      <c r="D61" s="58"/>
      <c r="E61" s="437"/>
      <c r="F61" s="434"/>
      <c r="G61" s="95" t="str">
        <f t="shared" si="7"/>
        <v/>
      </c>
      <c r="H61" s="435"/>
      <c r="I61" s="434"/>
      <c r="J61" s="95" t="str">
        <f t="shared" si="8"/>
        <v/>
      </c>
      <c r="K61" s="81"/>
      <c r="L61" s="362"/>
      <c r="M61" s="256" t="str">
        <f t="shared" si="5"/>
        <v/>
      </c>
      <c r="N61" s="184" t="str">
        <f>IF(OR(ISBLANK($D61),ISBLANK($K61),ISBLANK($L61)),"",IF($L61="0–9 km",0,IF(LEFT($D61,18)="Short-term blended",IF($F61&lt;15,Ceilings!$S$6*$F61,Ceilings!$S$6*14+Ceilings!$S$7*($F61-14)),IF(LEFT($D61,18)="Short-term joint s",IF($F61&lt;15,Ceilings!$S$3*$F61,Ceilings!$S$3*14+Ceilings!$S$4*($F61-14)),VLOOKUP($K61,Subsistence,2,0)*14+VLOOKUP($K61,Subsistence,3,0)*46+VLOOKUP($K61,Subsistence,4,0)*($F61-60)))))</f>
        <v/>
      </c>
      <c r="O61" s="185" t="str">
        <f>IF(OR(ISBLANK(D61),ISBLANK(H61),ISBLANK(K61),ISBLANK(L61)),"",IF(L61="0–9 km",0,IF(I61&lt;15,Ceilings!$S$3*I61,Ceilings!$S$3*14+Ceilings!$S$4*(I61-14))))</f>
        <v/>
      </c>
      <c r="P61" s="183" t="str">
        <f t="shared" si="9"/>
        <v/>
      </c>
      <c r="Q61" s="436"/>
      <c r="R61" s="266" t="str">
        <f>IF(OR(ISBLANK($D61),ISBLANK($K61),ISBLANK(Q61)),"",Ceilings!$V$3*Q61)</f>
        <v/>
      </c>
      <c r="S61" s="72" t="str">
        <f t="shared" si="6"/>
        <v/>
      </c>
    </row>
    <row r="62" spans="1:19" ht="15.75" customHeight="1">
      <c r="A62" s="506"/>
      <c r="B62" s="51" t="str">
        <f>IF(ISBLANK(A62),"",VLOOKUP(A62,Management!$A$11:$C$25,2,0))</f>
        <v/>
      </c>
      <c r="C62" s="437"/>
      <c r="D62" s="58"/>
      <c r="E62" s="437"/>
      <c r="F62" s="434"/>
      <c r="G62" s="95" t="str">
        <f t="shared" si="7"/>
        <v/>
      </c>
      <c r="H62" s="435"/>
      <c r="I62" s="434"/>
      <c r="J62" s="95" t="str">
        <f t="shared" si="8"/>
        <v/>
      </c>
      <c r="K62" s="81"/>
      <c r="L62" s="362"/>
      <c r="M62" s="256" t="str">
        <f t="shared" si="5"/>
        <v/>
      </c>
      <c r="N62" s="184" t="str">
        <f>IF(OR(ISBLANK($D62),ISBLANK($K62),ISBLANK($L62)),"",IF($L62="0–9 km",0,IF(LEFT($D62,18)="Short-term blended",IF($F62&lt;15,Ceilings!$S$6*$F62,Ceilings!$S$6*14+Ceilings!$S$7*($F62-14)),IF(LEFT($D62,18)="Short-term joint s",IF($F62&lt;15,Ceilings!$S$3*$F62,Ceilings!$S$3*14+Ceilings!$S$4*($F62-14)),VLOOKUP($K62,Subsistence,2,0)*14+VLOOKUP($K62,Subsistence,3,0)*46+VLOOKUP($K62,Subsistence,4,0)*($F62-60)))))</f>
        <v/>
      </c>
      <c r="O62" s="185" t="str">
        <f>IF(OR(ISBLANK(D62),ISBLANK(H62),ISBLANK(K62),ISBLANK(L62)),"",IF(L62="0–9 km",0,IF(I62&lt;15,Ceilings!$S$3*I62,Ceilings!$S$3*14+Ceilings!$S$4*(I62-14))))</f>
        <v/>
      </c>
      <c r="P62" s="183" t="str">
        <f t="shared" si="9"/>
        <v/>
      </c>
      <c r="Q62" s="436"/>
      <c r="R62" s="266" t="str">
        <f>IF(OR(ISBLANK($D62),ISBLANK($K62),ISBLANK(Q62)),"",Ceilings!$V$3*Q62)</f>
        <v/>
      </c>
      <c r="S62" s="72" t="str">
        <f t="shared" si="6"/>
        <v/>
      </c>
    </row>
    <row r="63" spans="1:19" ht="15.75" customHeight="1">
      <c r="A63" s="506"/>
      <c r="B63" s="51" t="str">
        <f>IF(ISBLANK(A63),"",VLOOKUP(A63,Management!$A$11:$C$25,2,0))</f>
        <v/>
      </c>
      <c r="C63" s="437"/>
      <c r="D63" s="58"/>
      <c r="E63" s="437"/>
      <c r="F63" s="434"/>
      <c r="G63" s="95" t="str">
        <f t="shared" si="7"/>
        <v/>
      </c>
      <c r="H63" s="435"/>
      <c r="I63" s="434"/>
      <c r="J63" s="95" t="str">
        <f t="shared" si="8"/>
        <v/>
      </c>
      <c r="K63" s="81"/>
      <c r="L63" s="362"/>
      <c r="M63" s="256" t="str">
        <f t="shared" si="5"/>
        <v/>
      </c>
      <c r="N63" s="184" t="str">
        <f>IF(OR(ISBLANK($D63),ISBLANK($K63),ISBLANK($L63)),"",IF($L63="0–9 km",0,IF(LEFT($D63,18)="Short-term blended",IF($F63&lt;15,Ceilings!$S$6*$F63,Ceilings!$S$6*14+Ceilings!$S$7*($F63-14)),IF(LEFT($D63,18)="Short-term joint s",IF($F63&lt;15,Ceilings!$S$3*$F63,Ceilings!$S$3*14+Ceilings!$S$4*($F63-14)),VLOOKUP($K63,Subsistence,2,0)*14+VLOOKUP($K63,Subsistence,3,0)*46+VLOOKUP($K63,Subsistence,4,0)*($F63-60)))))</f>
        <v/>
      </c>
      <c r="O63" s="185" t="str">
        <f>IF(OR(ISBLANK(D63),ISBLANK(H63),ISBLANK(K63),ISBLANK(L63)),"",IF(L63="0–9 km",0,IF(I63&lt;15,Ceilings!$S$3*I63,Ceilings!$S$3*14+Ceilings!$S$4*(I63-14))))</f>
        <v/>
      </c>
      <c r="P63" s="183" t="str">
        <f t="shared" si="9"/>
        <v/>
      </c>
      <c r="Q63" s="436"/>
      <c r="R63" s="266" t="str">
        <f>IF(OR(ISBLANK($D63),ISBLANK($K63),ISBLANK(Q63)),"",Ceilings!$V$3*Q63)</f>
        <v/>
      </c>
      <c r="S63" s="72" t="str">
        <f t="shared" si="6"/>
        <v/>
      </c>
    </row>
    <row r="64" spans="1:19" ht="15.75" customHeight="1">
      <c r="A64" s="506"/>
      <c r="B64" s="51" t="str">
        <f>IF(ISBLANK(A64),"",VLOOKUP(A64,Management!$A$11:$C$25,2,0))</f>
        <v/>
      </c>
      <c r="C64" s="437"/>
      <c r="D64" s="58"/>
      <c r="E64" s="437"/>
      <c r="F64" s="434"/>
      <c r="G64" s="95" t="str">
        <f t="shared" si="7"/>
        <v/>
      </c>
      <c r="H64" s="435"/>
      <c r="I64" s="434"/>
      <c r="J64" s="95" t="str">
        <f t="shared" si="8"/>
        <v/>
      </c>
      <c r="K64" s="81"/>
      <c r="L64" s="362"/>
      <c r="M64" s="256" t="str">
        <f t="shared" si="5"/>
        <v/>
      </c>
      <c r="N64" s="184" t="str">
        <f>IF(OR(ISBLANK($D64),ISBLANK($K64),ISBLANK($L64)),"",IF($L64="0–9 km",0,IF(LEFT($D64,18)="Short-term blended",IF($F64&lt;15,Ceilings!$S$6*$F64,Ceilings!$S$6*14+Ceilings!$S$7*($F64-14)),IF(LEFT($D64,18)="Short-term joint s",IF($F64&lt;15,Ceilings!$S$3*$F64,Ceilings!$S$3*14+Ceilings!$S$4*($F64-14)),VLOOKUP($K64,Subsistence,2,0)*14+VLOOKUP($K64,Subsistence,3,0)*46+VLOOKUP($K64,Subsistence,4,0)*($F64-60)))))</f>
        <v/>
      </c>
      <c r="O64" s="185" t="str">
        <f>IF(OR(ISBLANK(D64),ISBLANK(H64),ISBLANK(K64),ISBLANK(L64)),"",IF(L64="0–9 km",0,IF(I64&lt;15,Ceilings!$S$3*I64,Ceilings!$S$3*14+Ceilings!$S$4*(I64-14))))</f>
        <v/>
      </c>
      <c r="P64" s="183" t="str">
        <f t="shared" si="9"/>
        <v/>
      </c>
      <c r="Q64" s="436"/>
      <c r="R64" s="266" t="str">
        <f>IF(OR(ISBLANK($D64),ISBLANK($K64),ISBLANK(Q64)),"",Ceilings!$V$3*Q64)</f>
        <v/>
      </c>
      <c r="S64" s="72" t="str">
        <f t="shared" si="6"/>
        <v/>
      </c>
    </row>
    <row r="65" spans="1:19" ht="15.75" customHeight="1">
      <c r="A65" s="506"/>
      <c r="B65" s="51" t="str">
        <f>IF(ISBLANK(A65),"",VLOOKUP(A65,Management!$A$11:$C$25,2,0))</f>
        <v/>
      </c>
      <c r="C65" s="437"/>
      <c r="D65" s="58"/>
      <c r="E65" s="437"/>
      <c r="F65" s="434"/>
      <c r="G65" s="95" t="str">
        <f t="shared" si="7"/>
        <v/>
      </c>
      <c r="H65" s="435"/>
      <c r="I65" s="434"/>
      <c r="J65" s="95" t="str">
        <f t="shared" si="8"/>
        <v/>
      </c>
      <c r="K65" s="81"/>
      <c r="L65" s="362"/>
      <c r="M65" s="256" t="str">
        <f t="shared" si="5"/>
        <v/>
      </c>
      <c r="N65" s="184" t="str">
        <f>IF(OR(ISBLANK($D65),ISBLANK($K65),ISBLANK($L65)),"",IF($L65="0–9 km",0,IF(LEFT($D65,18)="Short-term blended",IF($F65&lt;15,Ceilings!$S$6*$F65,Ceilings!$S$6*14+Ceilings!$S$7*($F65-14)),IF(LEFT($D65,18)="Short-term joint s",IF($F65&lt;15,Ceilings!$S$3*$F65,Ceilings!$S$3*14+Ceilings!$S$4*($F65-14)),VLOOKUP($K65,Subsistence,2,0)*14+VLOOKUP($K65,Subsistence,3,0)*46+VLOOKUP($K65,Subsistence,4,0)*($F65-60)))))</f>
        <v/>
      </c>
      <c r="O65" s="185" t="str">
        <f>IF(OR(ISBLANK(D65),ISBLANK(H65),ISBLANK(K65),ISBLANK(L65)),"",IF(L65="0–9 km",0,IF(I65&lt;15,Ceilings!$S$3*I65,Ceilings!$S$3*14+Ceilings!$S$4*(I65-14))))</f>
        <v/>
      </c>
      <c r="P65" s="183" t="str">
        <f t="shared" si="9"/>
        <v/>
      </c>
      <c r="Q65" s="436"/>
      <c r="R65" s="266" t="str">
        <f>IF(OR(ISBLANK($D65),ISBLANK($K65),ISBLANK(Q65)),"",Ceilings!$V$3*Q65)</f>
        <v/>
      </c>
      <c r="S65" s="72" t="str">
        <f t="shared" si="6"/>
        <v/>
      </c>
    </row>
    <row r="66" spans="1:19" ht="15.75" customHeight="1">
      <c r="A66" s="506"/>
      <c r="B66" s="51" t="str">
        <f>IF(ISBLANK(A66),"",VLOOKUP(A66,Management!$A$11:$C$25,2,0))</f>
        <v/>
      </c>
      <c r="C66" s="437"/>
      <c r="D66" s="58"/>
      <c r="E66" s="437"/>
      <c r="F66" s="434"/>
      <c r="G66" s="95" t="str">
        <f t="shared" si="7"/>
        <v/>
      </c>
      <c r="H66" s="435"/>
      <c r="I66" s="434"/>
      <c r="J66" s="95" t="str">
        <f t="shared" si="8"/>
        <v/>
      </c>
      <c r="K66" s="81"/>
      <c r="L66" s="362"/>
      <c r="M66" s="256" t="str">
        <f t="shared" si="5"/>
        <v/>
      </c>
      <c r="N66" s="184" t="str">
        <f>IF(OR(ISBLANK($D66),ISBLANK($K66),ISBLANK($L66)),"",IF($L66="0–9 km",0,IF(LEFT($D66,18)="Short-term blended",IF($F66&lt;15,Ceilings!$S$6*$F66,Ceilings!$S$6*14+Ceilings!$S$7*($F66-14)),IF(LEFT($D66,18)="Short-term joint s",IF($F66&lt;15,Ceilings!$S$3*$F66,Ceilings!$S$3*14+Ceilings!$S$4*($F66-14)),VLOOKUP($K66,Subsistence,2,0)*14+VLOOKUP($K66,Subsistence,3,0)*46+VLOOKUP($K66,Subsistence,4,0)*($F66-60)))))</f>
        <v/>
      </c>
      <c r="O66" s="185" t="str">
        <f>IF(OR(ISBLANK(D66),ISBLANK(H66),ISBLANK(K66),ISBLANK(L66)),"",IF(L66="0–9 km",0,IF(I66&lt;15,Ceilings!$S$3*I66,Ceilings!$S$3*14+Ceilings!$S$4*(I66-14))))</f>
        <v/>
      </c>
      <c r="P66" s="183" t="str">
        <f t="shared" si="9"/>
        <v/>
      </c>
      <c r="Q66" s="436"/>
      <c r="R66" s="266" t="str">
        <f>IF(OR(ISBLANK($D66),ISBLANK($K66),ISBLANK(Q66)),"",Ceilings!$V$3*Q66)</f>
        <v/>
      </c>
      <c r="S66" s="72" t="str">
        <f t="shared" si="6"/>
        <v/>
      </c>
    </row>
    <row r="67" spans="1:19" ht="15.75" customHeight="1">
      <c r="A67" s="506"/>
      <c r="B67" s="51" t="str">
        <f>IF(ISBLANK(A67),"",VLOOKUP(A67,Management!$A$11:$C$25,2,0))</f>
        <v/>
      </c>
      <c r="C67" s="437"/>
      <c r="D67" s="58"/>
      <c r="E67" s="437"/>
      <c r="F67" s="434"/>
      <c r="G67" s="95" t="str">
        <f t="shared" si="7"/>
        <v/>
      </c>
      <c r="H67" s="435"/>
      <c r="I67" s="434"/>
      <c r="J67" s="95" t="str">
        <f t="shared" si="8"/>
        <v/>
      </c>
      <c r="K67" s="81"/>
      <c r="L67" s="362"/>
      <c r="M67" s="256" t="str">
        <f t="shared" si="5"/>
        <v/>
      </c>
      <c r="N67" s="184" t="str">
        <f>IF(OR(ISBLANK($D67),ISBLANK($K67),ISBLANK($L67)),"",IF($L67="0–9 km",0,IF(LEFT($D67,18)="Short-term blended",IF($F67&lt;15,Ceilings!$S$6*$F67,Ceilings!$S$6*14+Ceilings!$S$7*($F67-14)),IF(LEFT($D67,18)="Short-term joint s",IF($F67&lt;15,Ceilings!$S$3*$F67,Ceilings!$S$3*14+Ceilings!$S$4*($F67-14)),VLOOKUP($K67,Subsistence,2,0)*14+VLOOKUP($K67,Subsistence,3,0)*46+VLOOKUP($K67,Subsistence,4,0)*($F67-60)))))</f>
        <v/>
      </c>
      <c r="O67" s="185" t="str">
        <f>IF(OR(ISBLANK(D67),ISBLANK(H67),ISBLANK(K67),ISBLANK(L67)),"",IF(L67="0–9 km",0,IF(I67&lt;15,Ceilings!$S$3*I67,Ceilings!$S$3*14+Ceilings!$S$4*(I67-14))))</f>
        <v/>
      </c>
      <c r="P67" s="183" t="str">
        <f t="shared" si="9"/>
        <v/>
      </c>
      <c r="Q67" s="436"/>
      <c r="R67" s="266" t="str">
        <f>IF(OR(ISBLANK($D67),ISBLANK($K67),ISBLANK(Q67)),"",Ceilings!$V$3*Q67)</f>
        <v/>
      </c>
      <c r="S67" s="72" t="str">
        <f t="shared" si="6"/>
        <v/>
      </c>
    </row>
    <row r="68" spans="1:19" ht="15.75" customHeight="1">
      <c r="A68" s="506"/>
      <c r="B68" s="51" t="str">
        <f>IF(ISBLANK(A68),"",VLOOKUP(A68,Management!$A$11:$C$25,2,0))</f>
        <v/>
      </c>
      <c r="C68" s="437"/>
      <c r="D68" s="58"/>
      <c r="E68" s="437"/>
      <c r="F68" s="434"/>
      <c r="G68" s="95" t="str">
        <f t="shared" si="7"/>
        <v/>
      </c>
      <c r="H68" s="435"/>
      <c r="I68" s="434"/>
      <c r="J68" s="95" t="str">
        <f t="shared" si="8"/>
        <v/>
      </c>
      <c r="K68" s="81"/>
      <c r="L68" s="362"/>
      <c r="M68" s="256" t="str">
        <f t="shared" si="5"/>
        <v/>
      </c>
      <c r="N68" s="184" t="str">
        <f>IF(OR(ISBLANK($D68),ISBLANK($K68),ISBLANK($L68)),"",IF($L68="0–9 km",0,IF(LEFT($D68,18)="Short-term blended",IF($F68&lt;15,Ceilings!$S$6*$F68,Ceilings!$S$6*14+Ceilings!$S$7*($F68-14)),IF(LEFT($D68,18)="Short-term joint s",IF($F68&lt;15,Ceilings!$S$3*$F68,Ceilings!$S$3*14+Ceilings!$S$4*($F68-14)),VLOOKUP($K68,Subsistence,2,0)*14+VLOOKUP($K68,Subsistence,3,0)*46+VLOOKUP($K68,Subsistence,4,0)*($F68-60)))))</f>
        <v/>
      </c>
      <c r="O68" s="185" t="str">
        <f>IF(OR(ISBLANK(D68),ISBLANK(H68),ISBLANK(K68),ISBLANK(L68)),"",IF(L68="0–9 km",0,IF(I68&lt;15,Ceilings!$S$3*I68,Ceilings!$S$3*14+Ceilings!$S$4*(I68-14))))</f>
        <v/>
      </c>
      <c r="P68" s="183" t="str">
        <f t="shared" si="9"/>
        <v/>
      </c>
      <c r="Q68" s="436"/>
      <c r="R68" s="266" t="str">
        <f>IF(OR(ISBLANK($D68),ISBLANK($K68),ISBLANK(Q68)),"",Ceilings!$V$3*Q68)</f>
        <v/>
      </c>
      <c r="S68" s="72" t="str">
        <f t="shared" si="6"/>
        <v/>
      </c>
    </row>
    <row r="69" spans="1:19" ht="15.75" customHeight="1">
      <c r="A69" s="506"/>
      <c r="B69" s="51" t="str">
        <f>IF(ISBLANK(A69),"",VLOOKUP(A69,Management!$A$11:$C$25,2,0))</f>
        <v/>
      </c>
      <c r="C69" s="437"/>
      <c r="D69" s="58"/>
      <c r="E69" s="437"/>
      <c r="F69" s="434"/>
      <c r="G69" s="95" t="str">
        <f t="shared" si="7"/>
        <v/>
      </c>
      <c r="H69" s="435"/>
      <c r="I69" s="434"/>
      <c r="J69" s="95" t="str">
        <f t="shared" si="8"/>
        <v/>
      </c>
      <c r="K69" s="81"/>
      <c r="L69" s="362"/>
      <c r="M69" s="256" t="str">
        <f t="shared" si="5"/>
        <v/>
      </c>
      <c r="N69" s="184" t="str">
        <f>IF(OR(ISBLANK($D69),ISBLANK($K69),ISBLANK($L69)),"",IF($L69="0–9 km",0,IF(LEFT($D69,18)="Short-term blended",IF($F69&lt;15,Ceilings!$S$6*$F69,Ceilings!$S$6*14+Ceilings!$S$7*($F69-14)),IF(LEFT($D69,18)="Short-term joint s",IF($F69&lt;15,Ceilings!$S$3*$F69,Ceilings!$S$3*14+Ceilings!$S$4*($F69-14)),VLOOKUP($K69,Subsistence,2,0)*14+VLOOKUP($K69,Subsistence,3,0)*46+VLOOKUP($K69,Subsistence,4,0)*($F69-60)))))</f>
        <v/>
      </c>
      <c r="O69" s="185" t="str">
        <f>IF(OR(ISBLANK(D69),ISBLANK(H69),ISBLANK(K69),ISBLANK(L69)),"",IF(L69="0–9 km",0,IF(I69&lt;15,Ceilings!$S$3*I69,Ceilings!$S$3*14+Ceilings!$S$4*(I69-14))))</f>
        <v/>
      </c>
      <c r="P69" s="183" t="str">
        <f t="shared" si="9"/>
        <v/>
      </c>
      <c r="Q69" s="436"/>
      <c r="R69" s="266" t="str">
        <f>IF(OR(ISBLANK($D69),ISBLANK($K69),ISBLANK(Q69)),"",Ceilings!$V$3*Q69)</f>
        <v/>
      </c>
      <c r="S69" s="72" t="str">
        <f t="shared" si="6"/>
        <v/>
      </c>
    </row>
    <row r="70" spans="1:19" ht="15.75" customHeight="1">
      <c r="A70" s="506"/>
      <c r="B70" s="51" t="str">
        <f>IF(ISBLANK(A70),"",VLOOKUP(A70,Management!$A$11:$C$25,2,0))</f>
        <v/>
      </c>
      <c r="C70" s="437"/>
      <c r="D70" s="58"/>
      <c r="E70" s="437"/>
      <c r="F70" s="434"/>
      <c r="G70" s="95" t="str">
        <f t="shared" si="7"/>
        <v/>
      </c>
      <c r="H70" s="435"/>
      <c r="I70" s="434"/>
      <c r="J70" s="95" t="str">
        <f t="shared" si="8"/>
        <v/>
      </c>
      <c r="K70" s="81"/>
      <c r="L70" s="362"/>
      <c r="M70" s="256" t="str">
        <f t="shared" si="5"/>
        <v/>
      </c>
      <c r="N70" s="184" t="str">
        <f>IF(OR(ISBLANK($D70),ISBLANK($K70),ISBLANK($L70)),"",IF($L70="0–9 km",0,IF(LEFT($D70,18)="Short-term blended",IF($F70&lt;15,Ceilings!$S$6*$F70,Ceilings!$S$6*14+Ceilings!$S$7*($F70-14)),IF(LEFT($D70,18)="Short-term joint s",IF($F70&lt;15,Ceilings!$S$3*$F70,Ceilings!$S$3*14+Ceilings!$S$4*($F70-14)),VLOOKUP($K70,Subsistence,2,0)*14+VLOOKUP($K70,Subsistence,3,0)*46+VLOOKUP($K70,Subsistence,4,0)*($F70-60)))))</f>
        <v/>
      </c>
      <c r="O70" s="185" t="str">
        <f>IF(OR(ISBLANK(D70),ISBLANK(H70),ISBLANK(K70),ISBLANK(L70)),"",IF(L70="0–9 km",0,IF(I70&lt;15,Ceilings!$S$3*I70,Ceilings!$S$3*14+Ceilings!$S$4*(I70-14))))</f>
        <v/>
      </c>
      <c r="P70" s="183" t="str">
        <f t="shared" si="9"/>
        <v/>
      </c>
      <c r="Q70" s="436"/>
      <c r="R70" s="266" t="str">
        <f>IF(OR(ISBLANK($D70),ISBLANK($K70),ISBLANK(Q70)),"",Ceilings!$V$3*Q70)</f>
        <v/>
      </c>
      <c r="S70" s="72" t="str">
        <f t="shared" si="6"/>
        <v/>
      </c>
    </row>
    <row r="71" spans="1:19" ht="15.75" customHeight="1">
      <c r="A71" s="506"/>
      <c r="B71" s="51" t="str">
        <f>IF(ISBLANK(A71),"",VLOOKUP(A71,Management!$A$11:$C$25,2,0))</f>
        <v/>
      </c>
      <c r="C71" s="437"/>
      <c r="D71" s="58"/>
      <c r="E71" s="437"/>
      <c r="F71" s="434"/>
      <c r="G71" s="95" t="str">
        <f t="shared" si="7"/>
        <v/>
      </c>
      <c r="H71" s="435"/>
      <c r="I71" s="434"/>
      <c r="J71" s="95" t="str">
        <f t="shared" si="8"/>
        <v/>
      </c>
      <c r="K71" s="81"/>
      <c r="L71" s="362"/>
      <c r="M71" s="256" t="str">
        <f t="shared" ref="M71:M102" si="10">IF(ISBLANK(L71),"",(E71+H71)*VLOOKUP(L71,TravelGrant,2,0))</f>
        <v/>
      </c>
      <c r="N71" s="184" t="str">
        <f>IF(OR(ISBLANK($D71),ISBLANK($K71),ISBLANK($L71)),"",IF($L71="0–9 km",0,IF(LEFT($D71,18)="Short-term blended",IF($F71&lt;15,Ceilings!$S$6*$F71,Ceilings!$S$6*14+Ceilings!$S$7*($F71-14)),IF(LEFT($D71,18)="Short-term joint s",IF($F71&lt;15,Ceilings!$S$3*$F71,Ceilings!$S$3*14+Ceilings!$S$4*($F71-14)),VLOOKUP($K71,Subsistence,2,0)*14+VLOOKUP($K71,Subsistence,3,0)*46+VLOOKUP($K71,Subsistence,4,0)*($F71-60)))))</f>
        <v/>
      </c>
      <c r="O71" s="185" t="str">
        <f>IF(OR(ISBLANK(D71),ISBLANK(H71),ISBLANK(K71),ISBLANK(L71)),"",IF(L71="0–9 km",0,IF(I71&lt;15,Ceilings!$S$3*I71,Ceilings!$S$3*14+Ceilings!$S$4*(I71-14))))</f>
        <v/>
      </c>
      <c r="P71" s="183" t="str">
        <f t="shared" si="9"/>
        <v/>
      </c>
      <c r="Q71" s="436"/>
      <c r="R71" s="266" t="str">
        <f>IF(OR(ISBLANK($D71),ISBLANK($K71),ISBLANK(Q71)),"",Ceilings!$V$3*Q71)</f>
        <v/>
      </c>
      <c r="S71" s="72" t="str">
        <f t="shared" ref="S71:S106" si="11">IF(ISBLANK($A71),"",IF(OR(ISBLANK($C71),ISBLANK($D71),ISBLANK($E71),ISBLANK($K71)),"Missing data",SUM($M71,$P71,$R71)))</f>
        <v/>
      </c>
    </row>
    <row r="72" spans="1:19" ht="15.75" customHeight="1">
      <c r="A72" s="506"/>
      <c r="B72" s="51" t="str">
        <f>IF(ISBLANK(A72),"",VLOOKUP(A72,Management!$A$11:$C$25,2,0))</f>
        <v/>
      </c>
      <c r="C72" s="437"/>
      <c r="D72" s="58"/>
      <c r="E72" s="437"/>
      <c r="F72" s="434"/>
      <c r="G72" s="95" t="str">
        <f t="shared" si="7"/>
        <v/>
      </c>
      <c r="H72" s="435"/>
      <c r="I72" s="434"/>
      <c r="J72" s="95" t="str">
        <f t="shared" si="8"/>
        <v/>
      </c>
      <c r="K72" s="81"/>
      <c r="L72" s="362"/>
      <c r="M72" s="256" t="str">
        <f t="shared" si="10"/>
        <v/>
      </c>
      <c r="N72" s="184" t="str">
        <f>IF(OR(ISBLANK($D72),ISBLANK($K72),ISBLANK($L72)),"",IF($L72="0–9 km",0,IF(LEFT($D72,18)="Short-term blended",IF($F72&lt;15,Ceilings!$S$6*$F72,Ceilings!$S$6*14+Ceilings!$S$7*($F72-14)),IF(LEFT($D72,18)="Short-term joint s",IF($F72&lt;15,Ceilings!$S$3*$F72,Ceilings!$S$3*14+Ceilings!$S$4*($F72-14)),VLOOKUP($K72,Subsistence,2,0)*14+VLOOKUP($K72,Subsistence,3,0)*46+VLOOKUP($K72,Subsistence,4,0)*($F72-60)))))</f>
        <v/>
      </c>
      <c r="O72" s="185" t="str">
        <f>IF(OR(ISBLANK(D72),ISBLANK(H72),ISBLANK(K72),ISBLANK(L72)),"",IF(L72="0–9 km",0,IF(I72&lt;15,Ceilings!$S$3*I72,Ceilings!$S$3*14+Ceilings!$S$4*(I72-14))))</f>
        <v/>
      </c>
      <c r="P72" s="183" t="str">
        <f t="shared" si="9"/>
        <v/>
      </c>
      <c r="Q72" s="436"/>
      <c r="R72" s="266" t="str">
        <f>IF(OR(ISBLANK($D72),ISBLANK($K72),ISBLANK(Q72)),"",Ceilings!$V$3*Q72)</f>
        <v/>
      </c>
      <c r="S72" s="72" t="str">
        <f t="shared" si="11"/>
        <v/>
      </c>
    </row>
    <row r="73" spans="1:19" ht="15.75" customHeight="1">
      <c r="A73" s="506"/>
      <c r="B73" s="51" t="str">
        <f>IF(ISBLANK(A73),"",VLOOKUP(A73,Management!$A$11:$C$25,2,0))</f>
        <v/>
      </c>
      <c r="C73" s="437"/>
      <c r="D73" s="58"/>
      <c r="E73" s="437"/>
      <c r="F73" s="434"/>
      <c r="G73" s="95" t="str">
        <f t="shared" si="7"/>
        <v/>
      </c>
      <c r="H73" s="435"/>
      <c r="I73" s="434"/>
      <c r="J73" s="95" t="str">
        <f t="shared" si="8"/>
        <v/>
      </c>
      <c r="K73" s="81"/>
      <c r="L73" s="362"/>
      <c r="M73" s="256" t="str">
        <f t="shared" si="10"/>
        <v/>
      </c>
      <c r="N73" s="184" t="str">
        <f>IF(OR(ISBLANK($D73),ISBLANK($K73),ISBLANK($L73)),"",IF($L73="0–9 km",0,IF(LEFT($D73,18)="Short-term blended",IF($F73&lt;15,Ceilings!$S$6*$F73,Ceilings!$S$6*14+Ceilings!$S$7*($F73-14)),IF(LEFT($D73,18)="Short-term joint s",IF($F73&lt;15,Ceilings!$S$3*$F73,Ceilings!$S$3*14+Ceilings!$S$4*($F73-14)),VLOOKUP($K73,Subsistence,2,0)*14+VLOOKUP($K73,Subsistence,3,0)*46+VLOOKUP($K73,Subsistence,4,0)*($F73-60)))))</f>
        <v/>
      </c>
      <c r="O73" s="185" t="str">
        <f>IF(OR(ISBLANK(D73),ISBLANK(H73),ISBLANK(K73),ISBLANK(L73)),"",IF(L73="0–9 km",0,IF(I73&lt;15,Ceilings!$S$3*I73,Ceilings!$S$3*14+Ceilings!$S$4*(I73-14))))</f>
        <v/>
      </c>
      <c r="P73" s="183" t="str">
        <f t="shared" si="9"/>
        <v/>
      </c>
      <c r="Q73" s="436"/>
      <c r="R73" s="266" t="str">
        <f>IF(OR(ISBLANK($D73),ISBLANK($K73),ISBLANK(Q73)),"",Ceilings!$V$3*Q73)</f>
        <v/>
      </c>
      <c r="S73" s="72" t="str">
        <f t="shared" si="11"/>
        <v/>
      </c>
    </row>
    <row r="74" spans="1:19" ht="15.75" customHeight="1">
      <c r="A74" s="506"/>
      <c r="B74" s="51" t="str">
        <f>IF(ISBLANK(A74),"",VLOOKUP(A74,Management!$A$11:$C$25,2,0))</f>
        <v/>
      </c>
      <c r="C74" s="437"/>
      <c r="D74" s="58"/>
      <c r="E74" s="437"/>
      <c r="F74" s="434"/>
      <c r="G74" s="95" t="str">
        <f t="shared" si="7"/>
        <v/>
      </c>
      <c r="H74" s="435"/>
      <c r="I74" s="434"/>
      <c r="J74" s="95" t="str">
        <f t="shared" si="8"/>
        <v/>
      </c>
      <c r="K74" s="81"/>
      <c r="L74" s="362"/>
      <c r="M74" s="256" t="str">
        <f t="shared" si="10"/>
        <v/>
      </c>
      <c r="N74" s="184" t="str">
        <f>IF(OR(ISBLANK($D74),ISBLANK($K74),ISBLANK($L74)),"",IF($L74="0–9 km",0,IF(LEFT($D74,18)="Short-term blended",IF($F74&lt;15,Ceilings!$S$6*$F74,Ceilings!$S$6*14+Ceilings!$S$7*($F74-14)),IF(LEFT($D74,18)="Short-term joint s",IF($F74&lt;15,Ceilings!$S$3*$F74,Ceilings!$S$3*14+Ceilings!$S$4*($F74-14)),VLOOKUP($K74,Subsistence,2,0)*14+VLOOKUP($K74,Subsistence,3,0)*46+VLOOKUP($K74,Subsistence,4,0)*($F74-60)))))</f>
        <v/>
      </c>
      <c r="O74" s="185" t="str">
        <f>IF(OR(ISBLANK(D74),ISBLANK(H74),ISBLANK(K74),ISBLANK(L74)),"",IF(L74="0–9 km",0,IF(I74&lt;15,Ceilings!$S$3*I74,Ceilings!$S$3*14+Ceilings!$S$4*(I74-14))))</f>
        <v/>
      </c>
      <c r="P74" s="183" t="str">
        <f t="shared" si="9"/>
        <v/>
      </c>
      <c r="Q74" s="436"/>
      <c r="R74" s="266" t="str">
        <f>IF(OR(ISBLANK($D74),ISBLANK($K74),ISBLANK(Q74)),"",Ceilings!$V$3*Q74)</f>
        <v/>
      </c>
      <c r="S74" s="72" t="str">
        <f t="shared" si="11"/>
        <v/>
      </c>
    </row>
    <row r="75" spans="1:19" ht="15.75" customHeight="1">
      <c r="A75" s="506"/>
      <c r="B75" s="51" t="str">
        <f>IF(ISBLANK(A75),"",VLOOKUP(A75,Management!$A$11:$C$25,2,0))</f>
        <v/>
      </c>
      <c r="C75" s="437"/>
      <c r="D75" s="58"/>
      <c r="E75" s="437"/>
      <c r="F75" s="434"/>
      <c r="G75" s="95" t="str">
        <f t="shared" si="7"/>
        <v/>
      </c>
      <c r="H75" s="435"/>
      <c r="I75" s="434"/>
      <c r="J75" s="95" t="str">
        <f t="shared" si="8"/>
        <v/>
      </c>
      <c r="K75" s="81"/>
      <c r="L75" s="362"/>
      <c r="M75" s="256" t="str">
        <f t="shared" si="10"/>
        <v/>
      </c>
      <c r="N75" s="184" t="str">
        <f>IF(OR(ISBLANK($D75),ISBLANK($K75),ISBLANK($L75)),"",IF($L75="0–9 km",0,IF(LEFT($D75,18)="Short-term blended",IF($F75&lt;15,Ceilings!$S$6*$F75,Ceilings!$S$6*14+Ceilings!$S$7*($F75-14)),IF(LEFT($D75,18)="Short-term joint s",IF($F75&lt;15,Ceilings!$S$3*$F75,Ceilings!$S$3*14+Ceilings!$S$4*($F75-14)),VLOOKUP($K75,Subsistence,2,0)*14+VLOOKUP($K75,Subsistence,3,0)*46+VLOOKUP($K75,Subsistence,4,0)*($F75-60)))))</f>
        <v/>
      </c>
      <c r="O75" s="185" t="str">
        <f>IF(OR(ISBLANK(D75),ISBLANK(H75),ISBLANK(K75),ISBLANK(L75)),"",IF(L75="0–9 km",0,IF(I75&lt;15,Ceilings!$S$3*I75,Ceilings!$S$3*14+Ceilings!$S$4*(I75-14))))</f>
        <v/>
      </c>
      <c r="P75" s="183" t="str">
        <f t="shared" si="9"/>
        <v/>
      </c>
      <c r="Q75" s="436"/>
      <c r="R75" s="266" t="str">
        <f>IF(OR(ISBLANK($D75),ISBLANK($K75),ISBLANK(Q75)),"",Ceilings!$V$3*Q75)</f>
        <v/>
      </c>
      <c r="S75" s="72" t="str">
        <f t="shared" si="11"/>
        <v/>
      </c>
    </row>
    <row r="76" spans="1:19" ht="15.75" customHeight="1">
      <c r="A76" s="506"/>
      <c r="B76" s="51" t="str">
        <f>IF(ISBLANK(A76),"",VLOOKUP(A76,Management!$A$11:$C$25,2,0))</f>
        <v/>
      </c>
      <c r="C76" s="437"/>
      <c r="D76" s="58"/>
      <c r="E76" s="437"/>
      <c r="F76" s="434"/>
      <c r="G76" s="95" t="str">
        <f t="shared" si="7"/>
        <v/>
      </c>
      <c r="H76" s="435"/>
      <c r="I76" s="434"/>
      <c r="J76" s="95" t="str">
        <f t="shared" si="8"/>
        <v/>
      </c>
      <c r="K76" s="81"/>
      <c r="L76" s="362"/>
      <c r="M76" s="256" t="str">
        <f t="shared" si="10"/>
        <v/>
      </c>
      <c r="N76" s="184" t="str">
        <f>IF(OR(ISBLANK($D76),ISBLANK($K76),ISBLANK($L76)),"",IF($L76="0–9 km",0,IF(LEFT($D76,18)="Short-term blended",IF($F76&lt;15,Ceilings!$S$6*$F76,Ceilings!$S$6*14+Ceilings!$S$7*($F76-14)),IF(LEFT($D76,18)="Short-term joint s",IF($F76&lt;15,Ceilings!$S$3*$F76,Ceilings!$S$3*14+Ceilings!$S$4*($F76-14)),VLOOKUP($K76,Subsistence,2,0)*14+VLOOKUP($K76,Subsistence,3,0)*46+VLOOKUP($K76,Subsistence,4,0)*($F76-60)))))</f>
        <v/>
      </c>
      <c r="O76" s="185" t="str">
        <f>IF(OR(ISBLANK(D76),ISBLANK(H76),ISBLANK(K76),ISBLANK(L76)),"",IF(L76="0–9 km",0,IF(I76&lt;15,Ceilings!$S$3*I76,Ceilings!$S$3*14+Ceilings!$S$4*(I76-14))))</f>
        <v/>
      </c>
      <c r="P76" s="183" t="str">
        <f t="shared" si="9"/>
        <v/>
      </c>
      <c r="Q76" s="436"/>
      <c r="R76" s="266" t="str">
        <f>IF(OR(ISBLANK($D76),ISBLANK($K76),ISBLANK(Q76)),"",Ceilings!$V$3*Q76)</f>
        <v/>
      </c>
      <c r="S76" s="72" t="str">
        <f t="shared" si="11"/>
        <v/>
      </c>
    </row>
    <row r="77" spans="1:19" ht="15.75" customHeight="1">
      <c r="A77" s="506"/>
      <c r="B77" s="51" t="str">
        <f>IF(ISBLANK(A77),"",VLOOKUP(A77,Management!$A$11:$C$25,2,0))</f>
        <v/>
      </c>
      <c r="C77" s="437"/>
      <c r="D77" s="58"/>
      <c r="E77" s="437"/>
      <c r="F77" s="434"/>
      <c r="G77" s="95" t="str">
        <f t="shared" ref="G77:G106" si="12">IF(ISBLANK($D77),"","days")</f>
        <v/>
      </c>
      <c r="H77" s="435"/>
      <c r="I77" s="434"/>
      <c r="J77" s="95" t="str">
        <f t="shared" ref="J77:J106" si="13">IF(ISBLANK($D77),"","days")</f>
        <v/>
      </c>
      <c r="K77" s="81"/>
      <c r="L77" s="362"/>
      <c r="M77" s="256" t="str">
        <f t="shared" si="10"/>
        <v/>
      </c>
      <c r="N77" s="184" t="str">
        <f>IF(OR(ISBLANK($D77),ISBLANK($K77),ISBLANK($L77)),"",IF($L77="0–9 km",0,IF(LEFT($D77,18)="Short-term blended",IF($F77&lt;15,Ceilings!$S$6*$F77,Ceilings!$S$6*14+Ceilings!$S$7*($F77-14)),IF(LEFT($D77,18)="Short-term joint s",IF($F77&lt;15,Ceilings!$S$3*$F77,Ceilings!$S$3*14+Ceilings!$S$4*($F77-14)),VLOOKUP($K77,Subsistence,2,0)*14+VLOOKUP($K77,Subsistence,3,0)*46+VLOOKUP($K77,Subsistence,4,0)*($F77-60)))))</f>
        <v/>
      </c>
      <c r="O77" s="185" t="str">
        <f>IF(OR(ISBLANK(D77),ISBLANK(H77),ISBLANK(K77),ISBLANK(L77)),"",IF(L77="0–9 km",0,IF(I77&lt;15,Ceilings!$S$3*I77,Ceilings!$S$3*14+Ceilings!$S$4*(I77-14))))</f>
        <v/>
      </c>
      <c r="P77" s="183" t="str">
        <f t="shared" ref="P77:P106" si="14">IF(N77="","",$E77*N77+IF(O77="",0,$H77*O77))</f>
        <v/>
      </c>
      <c r="Q77" s="436"/>
      <c r="R77" s="266" t="str">
        <f>IF(OR(ISBLANK($D77),ISBLANK($K77),ISBLANK(Q77)),"",Ceilings!$V$3*Q77)</f>
        <v/>
      </c>
      <c r="S77" s="72" t="str">
        <f t="shared" si="11"/>
        <v/>
      </c>
    </row>
    <row r="78" spans="1:19" ht="15.75" customHeight="1">
      <c r="A78" s="506"/>
      <c r="B78" s="51" t="str">
        <f>IF(ISBLANK(A78),"",VLOOKUP(A78,Management!$A$11:$C$25,2,0))</f>
        <v/>
      </c>
      <c r="C78" s="437"/>
      <c r="D78" s="58"/>
      <c r="E78" s="437"/>
      <c r="F78" s="434"/>
      <c r="G78" s="95" t="str">
        <f t="shared" si="12"/>
        <v/>
      </c>
      <c r="H78" s="435"/>
      <c r="I78" s="434"/>
      <c r="J78" s="95" t="str">
        <f t="shared" si="13"/>
        <v/>
      </c>
      <c r="K78" s="81"/>
      <c r="L78" s="362"/>
      <c r="M78" s="256" t="str">
        <f t="shared" si="10"/>
        <v/>
      </c>
      <c r="N78" s="184" t="str">
        <f>IF(OR(ISBLANK($D78),ISBLANK($K78),ISBLANK($L78)),"",IF($L78="0–9 km",0,IF(LEFT($D78,18)="Short-term blended",IF($F78&lt;15,Ceilings!$S$6*$F78,Ceilings!$S$6*14+Ceilings!$S$7*($F78-14)),IF(LEFT($D78,18)="Short-term joint s",IF($F78&lt;15,Ceilings!$S$3*$F78,Ceilings!$S$3*14+Ceilings!$S$4*($F78-14)),VLOOKUP($K78,Subsistence,2,0)*14+VLOOKUP($K78,Subsistence,3,0)*46+VLOOKUP($K78,Subsistence,4,0)*($F78-60)))))</f>
        <v/>
      </c>
      <c r="O78" s="185" t="str">
        <f>IF(OR(ISBLANK(D78),ISBLANK(H78),ISBLANK(K78),ISBLANK(L78)),"",IF(L78="0–9 km",0,IF(I78&lt;15,Ceilings!$S$3*I78,Ceilings!$S$3*14+Ceilings!$S$4*(I78-14))))</f>
        <v/>
      </c>
      <c r="P78" s="183" t="str">
        <f t="shared" si="14"/>
        <v/>
      </c>
      <c r="Q78" s="436"/>
      <c r="R78" s="266" t="str">
        <f>IF(OR(ISBLANK($D78),ISBLANK($K78),ISBLANK(Q78)),"",Ceilings!$V$3*Q78)</f>
        <v/>
      </c>
      <c r="S78" s="72" t="str">
        <f t="shared" si="11"/>
        <v/>
      </c>
    </row>
    <row r="79" spans="1:19" ht="15.75" customHeight="1">
      <c r="A79" s="506"/>
      <c r="B79" s="51" t="str">
        <f>IF(ISBLANK(A79),"",VLOOKUP(A79,Management!$A$11:$C$25,2,0))</f>
        <v/>
      </c>
      <c r="C79" s="437"/>
      <c r="D79" s="58"/>
      <c r="E79" s="437"/>
      <c r="F79" s="434"/>
      <c r="G79" s="95" t="str">
        <f t="shared" si="12"/>
        <v/>
      </c>
      <c r="H79" s="435"/>
      <c r="I79" s="434"/>
      <c r="J79" s="95" t="str">
        <f t="shared" si="13"/>
        <v/>
      </c>
      <c r="K79" s="81"/>
      <c r="L79" s="362"/>
      <c r="M79" s="256" t="str">
        <f t="shared" si="10"/>
        <v/>
      </c>
      <c r="N79" s="184" t="str">
        <f>IF(OR(ISBLANK($D79),ISBLANK($K79),ISBLANK($L79)),"",IF($L79="0–9 km",0,IF(LEFT($D79,18)="Short-term blended",IF($F79&lt;15,Ceilings!$S$6*$F79,Ceilings!$S$6*14+Ceilings!$S$7*($F79-14)),IF(LEFT($D79,18)="Short-term joint s",IF($F79&lt;15,Ceilings!$S$3*$F79,Ceilings!$S$3*14+Ceilings!$S$4*($F79-14)),VLOOKUP($K79,Subsistence,2,0)*14+VLOOKUP($K79,Subsistence,3,0)*46+VLOOKUP($K79,Subsistence,4,0)*($F79-60)))))</f>
        <v/>
      </c>
      <c r="O79" s="185" t="str">
        <f>IF(OR(ISBLANK(D79),ISBLANK(H79),ISBLANK(K79),ISBLANK(L79)),"",IF(L79="0–9 km",0,IF(I79&lt;15,Ceilings!$S$3*I79,Ceilings!$S$3*14+Ceilings!$S$4*(I79-14))))</f>
        <v/>
      </c>
      <c r="P79" s="183" t="str">
        <f t="shared" si="14"/>
        <v/>
      </c>
      <c r="Q79" s="436"/>
      <c r="R79" s="266" t="str">
        <f>IF(OR(ISBLANK($D79),ISBLANK($K79),ISBLANK(Q79)),"",Ceilings!$V$3*Q79)</f>
        <v/>
      </c>
      <c r="S79" s="72" t="str">
        <f t="shared" si="11"/>
        <v/>
      </c>
    </row>
    <row r="80" spans="1:19" ht="15.75" customHeight="1">
      <c r="A80" s="506"/>
      <c r="B80" s="51" t="str">
        <f>IF(ISBLANK(A80),"",VLOOKUP(A80,Management!$A$11:$C$25,2,0))</f>
        <v/>
      </c>
      <c r="C80" s="437"/>
      <c r="D80" s="58"/>
      <c r="E80" s="437"/>
      <c r="F80" s="434"/>
      <c r="G80" s="95" t="str">
        <f t="shared" si="12"/>
        <v/>
      </c>
      <c r="H80" s="435"/>
      <c r="I80" s="434"/>
      <c r="J80" s="95" t="str">
        <f t="shared" si="13"/>
        <v/>
      </c>
      <c r="K80" s="81"/>
      <c r="L80" s="362"/>
      <c r="M80" s="256" t="str">
        <f t="shared" si="10"/>
        <v/>
      </c>
      <c r="N80" s="184" t="str">
        <f>IF(OR(ISBLANK($D80),ISBLANK($K80),ISBLANK($L80)),"",IF($L80="0–9 km",0,IF(LEFT($D80,18)="Short-term blended",IF($F80&lt;15,Ceilings!$S$6*$F80,Ceilings!$S$6*14+Ceilings!$S$7*($F80-14)),IF(LEFT($D80,18)="Short-term joint s",IF($F80&lt;15,Ceilings!$S$3*$F80,Ceilings!$S$3*14+Ceilings!$S$4*($F80-14)),VLOOKUP($K80,Subsistence,2,0)*14+VLOOKUP($K80,Subsistence,3,0)*46+VLOOKUP($K80,Subsistence,4,0)*($F80-60)))))</f>
        <v/>
      </c>
      <c r="O80" s="185" t="str">
        <f>IF(OR(ISBLANK(D80),ISBLANK(H80),ISBLANK(K80),ISBLANK(L80)),"",IF(L80="0–9 km",0,IF(I80&lt;15,Ceilings!$S$3*I80,Ceilings!$S$3*14+Ceilings!$S$4*(I80-14))))</f>
        <v/>
      </c>
      <c r="P80" s="183" t="str">
        <f t="shared" si="14"/>
        <v/>
      </c>
      <c r="Q80" s="436"/>
      <c r="R80" s="266" t="str">
        <f>IF(OR(ISBLANK($D80),ISBLANK($K80),ISBLANK(Q80)),"",Ceilings!$V$3*Q80)</f>
        <v/>
      </c>
      <c r="S80" s="72" t="str">
        <f t="shared" si="11"/>
        <v/>
      </c>
    </row>
    <row r="81" spans="1:19" ht="15.75" customHeight="1">
      <c r="A81" s="506"/>
      <c r="B81" s="51" t="str">
        <f>IF(ISBLANK(A81),"",VLOOKUP(A81,Management!$A$11:$C$25,2,0))</f>
        <v/>
      </c>
      <c r="C81" s="437"/>
      <c r="D81" s="58"/>
      <c r="E81" s="437"/>
      <c r="F81" s="434"/>
      <c r="G81" s="95" t="str">
        <f t="shared" si="12"/>
        <v/>
      </c>
      <c r="H81" s="435"/>
      <c r="I81" s="434"/>
      <c r="J81" s="95" t="str">
        <f t="shared" si="13"/>
        <v/>
      </c>
      <c r="K81" s="81"/>
      <c r="L81" s="362"/>
      <c r="M81" s="256" t="str">
        <f t="shared" si="10"/>
        <v/>
      </c>
      <c r="N81" s="184" t="str">
        <f>IF(OR(ISBLANK($D81),ISBLANK($K81),ISBLANK($L81)),"",IF($L81="0–9 km",0,IF(LEFT($D81,18)="Short-term blended",IF($F81&lt;15,Ceilings!$S$6*$F81,Ceilings!$S$6*14+Ceilings!$S$7*($F81-14)),IF(LEFT($D81,18)="Short-term joint s",IF($F81&lt;15,Ceilings!$S$3*$F81,Ceilings!$S$3*14+Ceilings!$S$4*($F81-14)),VLOOKUP($K81,Subsistence,2,0)*14+VLOOKUP($K81,Subsistence,3,0)*46+VLOOKUP($K81,Subsistence,4,0)*($F81-60)))))</f>
        <v/>
      </c>
      <c r="O81" s="185" t="str">
        <f>IF(OR(ISBLANK(D81),ISBLANK(H81),ISBLANK(K81),ISBLANK(L81)),"",IF(L81="0–9 km",0,IF(I81&lt;15,Ceilings!$S$3*I81,Ceilings!$S$3*14+Ceilings!$S$4*(I81-14))))</f>
        <v/>
      </c>
      <c r="P81" s="183" t="str">
        <f t="shared" si="14"/>
        <v/>
      </c>
      <c r="Q81" s="436"/>
      <c r="R81" s="266" t="str">
        <f>IF(OR(ISBLANK($D81),ISBLANK($K81),ISBLANK(Q81)),"",Ceilings!$V$3*Q81)</f>
        <v/>
      </c>
      <c r="S81" s="72" t="str">
        <f t="shared" si="11"/>
        <v/>
      </c>
    </row>
    <row r="82" spans="1:19" ht="15.75" customHeight="1">
      <c r="A82" s="506"/>
      <c r="B82" s="51" t="str">
        <f>IF(ISBLANK(A82),"",VLOOKUP(A82,Management!$A$11:$C$25,2,0))</f>
        <v/>
      </c>
      <c r="C82" s="437"/>
      <c r="D82" s="58"/>
      <c r="E82" s="437"/>
      <c r="F82" s="434"/>
      <c r="G82" s="95" t="str">
        <f t="shared" si="12"/>
        <v/>
      </c>
      <c r="H82" s="435"/>
      <c r="I82" s="434"/>
      <c r="J82" s="95" t="str">
        <f t="shared" si="13"/>
        <v/>
      </c>
      <c r="K82" s="81"/>
      <c r="L82" s="362"/>
      <c r="M82" s="256" t="str">
        <f t="shared" si="10"/>
        <v/>
      </c>
      <c r="N82" s="184" t="str">
        <f>IF(OR(ISBLANK($D82),ISBLANK($K82),ISBLANK($L82)),"",IF($L82="0–9 km",0,IF(LEFT($D82,18)="Short-term blended",IF($F82&lt;15,Ceilings!$S$6*$F82,Ceilings!$S$6*14+Ceilings!$S$7*($F82-14)),IF(LEFT($D82,18)="Short-term joint s",IF($F82&lt;15,Ceilings!$S$3*$F82,Ceilings!$S$3*14+Ceilings!$S$4*($F82-14)),VLOOKUP($K82,Subsistence,2,0)*14+VLOOKUP($K82,Subsistence,3,0)*46+VLOOKUP($K82,Subsistence,4,0)*($F82-60)))))</f>
        <v/>
      </c>
      <c r="O82" s="185" t="str">
        <f>IF(OR(ISBLANK(D82),ISBLANK(H82),ISBLANK(K82),ISBLANK(L82)),"",IF(L82="0–9 km",0,IF(I82&lt;15,Ceilings!$S$3*I82,Ceilings!$S$3*14+Ceilings!$S$4*(I82-14))))</f>
        <v/>
      </c>
      <c r="P82" s="183" t="str">
        <f t="shared" si="14"/>
        <v/>
      </c>
      <c r="Q82" s="436"/>
      <c r="R82" s="266" t="str">
        <f>IF(OR(ISBLANK($D82),ISBLANK($K82),ISBLANK(Q82)),"",Ceilings!$V$3*Q82)</f>
        <v/>
      </c>
      <c r="S82" s="72" t="str">
        <f t="shared" si="11"/>
        <v/>
      </c>
    </row>
    <row r="83" spans="1:19" ht="15.75" customHeight="1">
      <c r="A83" s="506"/>
      <c r="B83" s="51" t="str">
        <f>IF(ISBLANK(A83),"",VLOOKUP(A83,Management!$A$11:$C$25,2,0))</f>
        <v/>
      </c>
      <c r="C83" s="437"/>
      <c r="D83" s="58"/>
      <c r="E83" s="437"/>
      <c r="F83" s="434"/>
      <c r="G83" s="95" t="str">
        <f t="shared" si="12"/>
        <v/>
      </c>
      <c r="H83" s="435"/>
      <c r="I83" s="434"/>
      <c r="J83" s="95" t="str">
        <f t="shared" si="13"/>
        <v/>
      </c>
      <c r="K83" s="81"/>
      <c r="L83" s="362"/>
      <c r="M83" s="256" t="str">
        <f t="shared" si="10"/>
        <v/>
      </c>
      <c r="N83" s="184" t="str">
        <f>IF(OR(ISBLANK($D83),ISBLANK($K83),ISBLANK($L83)),"",IF($L83="0–9 km",0,IF(LEFT($D83,18)="Short-term blended",IF($F83&lt;15,Ceilings!$S$6*$F83,Ceilings!$S$6*14+Ceilings!$S$7*($F83-14)),IF(LEFT($D83,18)="Short-term joint s",IF($F83&lt;15,Ceilings!$S$3*$F83,Ceilings!$S$3*14+Ceilings!$S$4*($F83-14)),VLOOKUP($K83,Subsistence,2,0)*14+VLOOKUP($K83,Subsistence,3,0)*46+VLOOKUP($K83,Subsistence,4,0)*($F83-60)))))</f>
        <v/>
      </c>
      <c r="O83" s="185" t="str">
        <f>IF(OR(ISBLANK(D83),ISBLANK(H83),ISBLANK(K83),ISBLANK(L83)),"",IF(L83="0–9 km",0,IF(I83&lt;15,Ceilings!$S$3*I83,Ceilings!$S$3*14+Ceilings!$S$4*(I83-14))))</f>
        <v/>
      </c>
      <c r="P83" s="183" t="str">
        <f t="shared" si="14"/>
        <v/>
      </c>
      <c r="Q83" s="436"/>
      <c r="R83" s="266" t="str">
        <f>IF(OR(ISBLANK($D83),ISBLANK($K83),ISBLANK(Q83)),"",Ceilings!$V$3*Q83)</f>
        <v/>
      </c>
      <c r="S83" s="72" t="str">
        <f t="shared" si="11"/>
        <v/>
      </c>
    </row>
    <row r="84" spans="1:19" ht="15.75" customHeight="1">
      <c r="A84" s="506"/>
      <c r="B84" s="51" t="str">
        <f>IF(ISBLANK(A84),"",VLOOKUP(A84,Management!$A$11:$C$25,2,0))</f>
        <v/>
      </c>
      <c r="C84" s="437"/>
      <c r="D84" s="58"/>
      <c r="E84" s="437"/>
      <c r="F84" s="434"/>
      <c r="G84" s="95" t="str">
        <f t="shared" si="12"/>
        <v/>
      </c>
      <c r="H84" s="435"/>
      <c r="I84" s="434"/>
      <c r="J84" s="95" t="str">
        <f t="shared" si="13"/>
        <v/>
      </c>
      <c r="K84" s="81"/>
      <c r="L84" s="362"/>
      <c r="M84" s="256" t="str">
        <f t="shared" si="10"/>
        <v/>
      </c>
      <c r="N84" s="184" t="str">
        <f>IF(OR(ISBLANK($D84),ISBLANK($K84),ISBLANK($L84)),"",IF($L84="0–9 km",0,IF(LEFT($D84,18)="Short-term blended",IF($F84&lt;15,Ceilings!$S$6*$F84,Ceilings!$S$6*14+Ceilings!$S$7*($F84-14)),IF(LEFT($D84,18)="Short-term joint s",IF($F84&lt;15,Ceilings!$S$3*$F84,Ceilings!$S$3*14+Ceilings!$S$4*($F84-14)),VLOOKUP($K84,Subsistence,2,0)*14+VLOOKUP($K84,Subsistence,3,0)*46+VLOOKUP($K84,Subsistence,4,0)*($F84-60)))))</f>
        <v/>
      </c>
      <c r="O84" s="185" t="str">
        <f>IF(OR(ISBLANK(D84),ISBLANK(H84),ISBLANK(K84),ISBLANK(L84)),"",IF(L84="0–9 km",0,IF(I84&lt;15,Ceilings!$S$3*I84,Ceilings!$S$3*14+Ceilings!$S$4*(I84-14))))</f>
        <v/>
      </c>
      <c r="P84" s="183" t="str">
        <f t="shared" si="14"/>
        <v/>
      </c>
      <c r="Q84" s="436"/>
      <c r="R84" s="266" t="str">
        <f>IF(OR(ISBLANK($D84),ISBLANK($K84),ISBLANK(Q84)),"",Ceilings!$V$3*Q84)</f>
        <v/>
      </c>
      <c r="S84" s="72" t="str">
        <f t="shared" si="11"/>
        <v/>
      </c>
    </row>
    <row r="85" spans="1:19" ht="15.75" customHeight="1">
      <c r="A85" s="506"/>
      <c r="B85" s="51" t="str">
        <f>IF(ISBLANK(A85),"",VLOOKUP(A85,Management!$A$11:$C$25,2,0))</f>
        <v/>
      </c>
      <c r="C85" s="437"/>
      <c r="D85" s="58"/>
      <c r="E85" s="437"/>
      <c r="F85" s="434"/>
      <c r="G85" s="95" t="str">
        <f t="shared" si="12"/>
        <v/>
      </c>
      <c r="H85" s="435"/>
      <c r="I85" s="434"/>
      <c r="J85" s="95" t="str">
        <f t="shared" si="13"/>
        <v/>
      </c>
      <c r="K85" s="81"/>
      <c r="L85" s="362"/>
      <c r="M85" s="256" t="str">
        <f t="shared" si="10"/>
        <v/>
      </c>
      <c r="N85" s="184" t="str">
        <f>IF(OR(ISBLANK($D85),ISBLANK($K85),ISBLANK($L85)),"",IF($L85="0–9 km",0,IF(LEFT($D85,18)="Short-term blended",IF($F85&lt;15,Ceilings!$S$6*$F85,Ceilings!$S$6*14+Ceilings!$S$7*($F85-14)),IF(LEFT($D85,18)="Short-term joint s",IF($F85&lt;15,Ceilings!$S$3*$F85,Ceilings!$S$3*14+Ceilings!$S$4*($F85-14)),VLOOKUP($K85,Subsistence,2,0)*14+VLOOKUP($K85,Subsistence,3,0)*46+VLOOKUP($K85,Subsistence,4,0)*($F85-60)))))</f>
        <v/>
      </c>
      <c r="O85" s="185" t="str">
        <f>IF(OR(ISBLANK(D85),ISBLANK(H85),ISBLANK(K85),ISBLANK(L85)),"",IF(L85="0–9 km",0,IF(I85&lt;15,Ceilings!$S$3*I85,Ceilings!$S$3*14+Ceilings!$S$4*(I85-14))))</f>
        <v/>
      </c>
      <c r="P85" s="183" t="str">
        <f t="shared" si="14"/>
        <v/>
      </c>
      <c r="Q85" s="436"/>
      <c r="R85" s="266" t="str">
        <f>IF(OR(ISBLANK($D85),ISBLANK($K85),ISBLANK(Q85)),"",Ceilings!$V$3*Q85)</f>
        <v/>
      </c>
      <c r="S85" s="72" t="str">
        <f t="shared" si="11"/>
        <v/>
      </c>
    </row>
    <row r="86" spans="1:19" ht="15.75" customHeight="1">
      <c r="A86" s="506"/>
      <c r="B86" s="51" t="str">
        <f>IF(ISBLANK(A86),"",VLOOKUP(A86,Management!$A$11:$C$25,2,0))</f>
        <v/>
      </c>
      <c r="C86" s="437"/>
      <c r="D86" s="58"/>
      <c r="E86" s="437"/>
      <c r="F86" s="434"/>
      <c r="G86" s="95" t="str">
        <f t="shared" si="12"/>
        <v/>
      </c>
      <c r="H86" s="435"/>
      <c r="I86" s="434"/>
      <c r="J86" s="95" t="str">
        <f t="shared" si="13"/>
        <v/>
      </c>
      <c r="K86" s="81"/>
      <c r="L86" s="362"/>
      <c r="M86" s="256" t="str">
        <f t="shared" si="10"/>
        <v/>
      </c>
      <c r="N86" s="184" t="str">
        <f>IF(OR(ISBLANK($D86),ISBLANK($K86),ISBLANK($L86)),"",IF($L86="0–9 km",0,IF(LEFT($D86,18)="Short-term blended",IF($F86&lt;15,Ceilings!$S$6*$F86,Ceilings!$S$6*14+Ceilings!$S$7*($F86-14)),IF(LEFT($D86,18)="Short-term joint s",IF($F86&lt;15,Ceilings!$S$3*$F86,Ceilings!$S$3*14+Ceilings!$S$4*($F86-14)),VLOOKUP($K86,Subsistence,2,0)*14+VLOOKUP($K86,Subsistence,3,0)*46+VLOOKUP($K86,Subsistence,4,0)*($F86-60)))))</f>
        <v/>
      </c>
      <c r="O86" s="185" t="str">
        <f>IF(OR(ISBLANK(D86),ISBLANK(H86),ISBLANK(K86),ISBLANK(L86)),"",IF(L86="0–9 km",0,IF(I86&lt;15,Ceilings!$S$3*I86,Ceilings!$S$3*14+Ceilings!$S$4*(I86-14))))</f>
        <v/>
      </c>
      <c r="P86" s="183" t="str">
        <f t="shared" si="14"/>
        <v/>
      </c>
      <c r="Q86" s="436"/>
      <c r="R86" s="266" t="str">
        <f>IF(OR(ISBLANK($D86),ISBLANK($K86),ISBLANK(Q86)),"",Ceilings!$V$3*Q86)</f>
        <v/>
      </c>
      <c r="S86" s="72" t="str">
        <f t="shared" si="11"/>
        <v/>
      </c>
    </row>
    <row r="87" spans="1:19" ht="15.75" customHeight="1">
      <c r="A87" s="506"/>
      <c r="B87" s="51" t="str">
        <f>IF(ISBLANK(A87),"",VLOOKUP(A87,Management!$A$11:$C$25,2,0))</f>
        <v/>
      </c>
      <c r="C87" s="437"/>
      <c r="D87" s="58"/>
      <c r="E87" s="437"/>
      <c r="F87" s="434"/>
      <c r="G87" s="95" t="str">
        <f t="shared" si="12"/>
        <v/>
      </c>
      <c r="H87" s="435"/>
      <c r="I87" s="434"/>
      <c r="J87" s="95" t="str">
        <f t="shared" si="13"/>
        <v/>
      </c>
      <c r="K87" s="81"/>
      <c r="L87" s="362"/>
      <c r="M87" s="256" t="str">
        <f t="shared" si="10"/>
        <v/>
      </c>
      <c r="N87" s="184" t="str">
        <f>IF(OR(ISBLANK($D87),ISBLANK($K87),ISBLANK($L87)),"",IF($L87="0–9 km",0,IF(LEFT($D87,18)="Short-term blended",IF($F87&lt;15,Ceilings!$S$6*$F87,Ceilings!$S$6*14+Ceilings!$S$7*($F87-14)),IF(LEFT($D87,18)="Short-term joint s",IF($F87&lt;15,Ceilings!$S$3*$F87,Ceilings!$S$3*14+Ceilings!$S$4*($F87-14)),VLOOKUP($K87,Subsistence,2,0)*14+VLOOKUP($K87,Subsistence,3,0)*46+VLOOKUP($K87,Subsistence,4,0)*($F87-60)))))</f>
        <v/>
      </c>
      <c r="O87" s="185" t="str">
        <f>IF(OR(ISBLANK(D87),ISBLANK(H87),ISBLANK(K87),ISBLANK(L87)),"",IF(L87="0–9 km",0,IF(I87&lt;15,Ceilings!$S$3*I87,Ceilings!$S$3*14+Ceilings!$S$4*(I87-14))))</f>
        <v/>
      </c>
      <c r="P87" s="183" t="str">
        <f t="shared" si="14"/>
        <v/>
      </c>
      <c r="Q87" s="436"/>
      <c r="R87" s="266" t="str">
        <f>IF(OR(ISBLANK($D87),ISBLANK($K87),ISBLANK(Q87)),"",Ceilings!$V$3*Q87)</f>
        <v/>
      </c>
      <c r="S87" s="72" t="str">
        <f t="shared" si="11"/>
        <v/>
      </c>
    </row>
    <row r="88" spans="1:19" ht="15.75" customHeight="1">
      <c r="A88" s="506"/>
      <c r="B88" s="51" t="str">
        <f>IF(ISBLANK(A88),"",VLOOKUP(A88,Management!$A$11:$C$25,2,0))</f>
        <v/>
      </c>
      <c r="C88" s="437"/>
      <c r="D88" s="58"/>
      <c r="E88" s="437"/>
      <c r="F88" s="434"/>
      <c r="G88" s="95" t="str">
        <f t="shared" si="12"/>
        <v/>
      </c>
      <c r="H88" s="435"/>
      <c r="I88" s="434"/>
      <c r="J88" s="95" t="str">
        <f t="shared" si="13"/>
        <v/>
      </c>
      <c r="K88" s="81"/>
      <c r="L88" s="362"/>
      <c r="M88" s="256" t="str">
        <f t="shared" si="10"/>
        <v/>
      </c>
      <c r="N88" s="184" t="str">
        <f>IF(OR(ISBLANK($D88),ISBLANK($K88),ISBLANK($L88)),"",IF($L88="0–9 km",0,IF(LEFT($D88,18)="Short-term blended",IF($F88&lt;15,Ceilings!$S$6*$F88,Ceilings!$S$6*14+Ceilings!$S$7*($F88-14)),IF(LEFT($D88,18)="Short-term joint s",IF($F88&lt;15,Ceilings!$S$3*$F88,Ceilings!$S$3*14+Ceilings!$S$4*($F88-14)),VLOOKUP($K88,Subsistence,2,0)*14+VLOOKUP($K88,Subsistence,3,0)*46+VLOOKUP($K88,Subsistence,4,0)*($F88-60)))))</f>
        <v/>
      </c>
      <c r="O88" s="185" t="str">
        <f>IF(OR(ISBLANK(D88),ISBLANK(H88),ISBLANK(K88),ISBLANK(L88)),"",IF(L88="0–9 km",0,IF(I88&lt;15,Ceilings!$S$3*I88,Ceilings!$S$3*14+Ceilings!$S$4*(I88-14))))</f>
        <v/>
      </c>
      <c r="P88" s="183" t="str">
        <f t="shared" si="14"/>
        <v/>
      </c>
      <c r="Q88" s="436"/>
      <c r="R88" s="266" t="str">
        <f>IF(OR(ISBLANK($D88),ISBLANK($K88),ISBLANK(Q88)),"",Ceilings!$V$3*Q88)</f>
        <v/>
      </c>
      <c r="S88" s="72" t="str">
        <f t="shared" si="11"/>
        <v/>
      </c>
    </row>
    <row r="89" spans="1:19" ht="15.75" customHeight="1">
      <c r="A89" s="506"/>
      <c r="B89" s="51" t="str">
        <f>IF(ISBLANK(A89),"",VLOOKUP(A89,Management!$A$11:$C$25,2,0))</f>
        <v/>
      </c>
      <c r="C89" s="437"/>
      <c r="D89" s="58"/>
      <c r="E89" s="437"/>
      <c r="F89" s="434"/>
      <c r="G89" s="95" t="str">
        <f t="shared" si="12"/>
        <v/>
      </c>
      <c r="H89" s="435"/>
      <c r="I89" s="434"/>
      <c r="J89" s="95" t="str">
        <f t="shared" si="13"/>
        <v/>
      </c>
      <c r="K89" s="81"/>
      <c r="L89" s="362"/>
      <c r="M89" s="256" t="str">
        <f t="shared" si="10"/>
        <v/>
      </c>
      <c r="N89" s="184" t="str">
        <f>IF(OR(ISBLANK($D89),ISBLANK($K89),ISBLANK($L89)),"",IF($L89="0–9 km",0,IF(LEFT($D89,18)="Short-term blended",IF($F89&lt;15,Ceilings!$S$6*$F89,Ceilings!$S$6*14+Ceilings!$S$7*($F89-14)),IF(LEFT($D89,18)="Short-term joint s",IF($F89&lt;15,Ceilings!$S$3*$F89,Ceilings!$S$3*14+Ceilings!$S$4*($F89-14)),VLOOKUP($K89,Subsistence,2,0)*14+VLOOKUP($K89,Subsistence,3,0)*46+VLOOKUP($K89,Subsistence,4,0)*($F89-60)))))</f>
        <v/>
      </c>
      <c r="O89" s="185" t="str">
        <f>IF(OR(ISBLANK(D89),ISBLANK(H89),ISBLANK(K89),ISBLANK(L89)),"",IF(L89="0–9 km",0,IF(I89&lt;15,Ceilings!$S$3*I89,Ceilings!$S$3*14+Ceilings!$S$4*(I89-14))))</f>
        <v/>
      </c>
      <c r="P89" s="183" t="str">
        <f t="shared" si="14"/>
        <v/>
      </c>
      <c r="Q89" s="436"/>
      <c r="R89" s="266" t="str">
        <f>IF(OR(ISBLANK($D89),ISBLANK($K89),ISBLANK(Q89)),"",Ceilings!$V$3*Q89)</f>
        <v/>
      </c>
      <c r="S89" s="72" t="str">
        <f t="shared" si="11"/>
        <v/>
      </c>
    </row>
    <row r="90" spans="1:19" ht="15.75" customHeight="1">
      <c r="A90" s="506"/>
      <c r="B90" s="51" t="str">
        <f>IF(ISBLANK(A90),"",VLOOKUP(A90,Management!$A$11:$C$25,2,0))</f>
        <v/>
      </c>
      <c r="C90" s="437"/>
      <c r="D90" s="58"/>
      <c r="E90" s="437"/>
      <c r="F90" s="434"/>
      <c r="G90" s="95" t="str">
        <f t="shared" si="12"/>
        <v/>
      </c>
      <c r="H90" s="435"/>
      <c r="I90" s="434"/>
      <c r="J90" s="95" t="str">
        <f t="shared" si="13"/>
        <v/>
      </c>
      <c r="K90" s="81"/>
      <c r="L90" s="362"/>
      <c r="M90" s="256" t="str">
        <f t="shared" si="10"/>
        <v/>
      </c>
      <c r="N90" s="184" t="str">
        <f>IF(OR(ISBLANK($D90),ISBLANK($K90),ISBLANK($L90)),"",IF($L90="0–9 km",0,IF(LEFT($D90,18)="Short-term blended",IF($F90&lt;15,Ceilings!$S$6*$F90,Ceilings!$S$6*14+Ceilings!$S$7*($F90-14)),IF(LEFT($D90,18)="Short-term joint s",IF($F90&lt;15,Ceilings!$S$3*$F90,Ceilings!$S$3*14+Ceilings!$S$4*($F90-14)),VLOOKUP($K90,Subsistence,2,0)*14+VLOOKUP($K90,Subsistence,3,0)*46+VLOOKUP($K90,Subsistence,4,0)*($F90-60)))))</f>
        <v/>
      </c>
      <c r="O90" s="185" t="str">
        <f>IF(OR(ISBLANK(D90),ISBLANK(H90),ISBLANK(K90),ISBLANK(L90)),"",IF(L90="0–9 km",0,IF(I90&lt;15,Ceilings!$S$3*I90,Ceilings!$S$3*14+Ceilings!$S$4*(I90-14))))</f>
        <v/>
      </c>
      <c r="P90" s="183" t="str">
        <f t="shared" si="14"/>
        <v/>
      </c>
      <c r="Q90" s="436"/>
      <c r="R90" s="266" t="str">
        <f>IF(OR(ISBLANK($D90),ISBLANK($K90),ISBLANK(Q90)),"",Ceilings!$V$3*Q90)</f>
        <v/>
      </c>
      <c r="S90" s="72" t="str">
        <f t="shared" si="11"/>
        <v/>
      </c>
    </row>
    <row r="91" spans="1:19" ht="15.75" customHeight="1">
      <c r="A91" s="506"/>
      <c r="B91" s="51" t="str">
        <f>IF(ISBLANK(A91),"",VLOOKUP(A91,Management!$A$11:$C$25,2,0))</f>
        <v/>
      </c>
      <c r="C91" s="437"/>
      <c r="D91" s="58"/>
      <c r="E91" s="437"/>
      <c r="F91" s="434"/>
      <c r="G91" s="95" t="str">
        <f t="shared" si="12"/>
        <v/>
      </c>
      <c r="H91" s="435"/>
      <c r="I91" s="434"/>
      <c r="J91" s="95" t="str">
        <f t="shared" si="13"/>
        <v/>
      </c>
      <c r="K91" s="81"/>
      <c r="L91" s="362"/>
      <c r="M91" s="256" t="str">
        <f t="shared" si="10"/>
        <v/>
      </c>
      <c r="N91" s="184" t="str">
        <f>IF(OR(ISBLANK($D91),ISBLANK($K91),ISBLANK($L91)),"",IF($L91="0–9 km",0,IF(LEFT($D91,18)="Short-term blended",IF($F91&lt;15,Ceilings!$S$6*$F91,Ceilings!$S$6*14+Ceilings!$S$7*($F91-14)),IF(LEFT($D91,18)="Short-term joint s",IF($F91&lt;15,Ceilings!$S$3*$F91,Ceilings!$S$3*14+Ceilings!$S$4*($F91-14)),VLOOKUP($K91,Subsistence,2,0)*14+VLOOKUP($K91,Subsistence,3,0)*46+VLOOKUP($K91,Subsistence,4,0)*($F91-60)))))</f>
        <v/>
      </c>
      <c r="O91" s="185" t="str">
        <f>IF(OR(ISBLANK(D91),ISBLANK(H91),ISBLANK(K91),ISBLANK(L91)),"",IF(L91="0–9 km",0,IF(I91&lt;15,Ceilings!$S$3*I91,Ceilings!$S$3*14+Ceilings!$S$4*(I91-14))))</f>
        <v/>
      </c>
      <c r="P91" s="183" t="str">
        <f t="shared" si="14"/>
        <v/>
      </c>
      <c r="Q91" s="436"/>
      <c r="R91" s="266" t="str">
        <f>IF(OR(ISBLANK($D91),ISBLANK($K91),ISBLANK(Q91)),"",Ceilings!$V$3*Q91)</f>
        <v/>
      </c>
      <c r="S91" s="72" t="str">
        <f t="shared" si="11"/>
        <v/>
      </c>
    </row>
    <row r="92" spans="1:19" ht="15.75" customHeight="1">
      <c r="A92" s="506"/>
      <c r="B92" s="51" t="str">
        <f>IF(ISBLANK(A92),"",VLOOKUP(A92,Management!$A$11:$C$25,2,0))</f>
        <v/>
      </c>
      <c r="C92" s="437"/>
      <c r="D92" s="58"/>
      <c r="E92" s="437"/>
      <c r="F92" s="434"/>
      <c r="G92" s="95" t="str">
        <f t="shared" si="12"/>
        <v/>
      </c>
      <c r="H92" s="435"/>
      <c r="I92" s="434"/>
      <c r="J92" s="95" t="str">
        <f t="shared" si="13"/>
        <v/>
      </c>
      <c r="K92" s="81"/>
      <c r="L92" s="362"/>
      <c r="M92" s="256" t="str">
        <f t="shared" si="10"/>
        <v/>
      </c>
      <c r="N92" s="184" t="str">
        <f>IF(OR(ISBLANK($D92),ISBLANK($K92),ISBLANK($L92)),"",IF($L92="0–9 km",0,IF(LEFT($D92,18)="Short-term blended",IF($F92&lt;15,Ceilings!$S$6*$F92,Ceilings!$S$6*14+Ceilings!$S$7*($F92-14)),IF(LEFT($D92,18)="Short-term joint s",IF($F92&lt;15,Ceilings!$S$3*$F92,Ceilings!$S$3*14+Ceilings!$S$4*($F92-14)),VLOOKUP($K92,Subsistence,2,0)*14+VLOOKUP($K92,Subsistence,3,0)*46+VLOOKUP($K92,Subsistence,4,0)*($F92-60)))))</f>
        <v/>
      </c>
      <c r="O92" s="185" t="str">
        <f>IF(OR(ISBLANK(D92),ISBLANK(H92),ISBLANK(K92),ISBLANK(L92)),"",IF(L92="0–9 km",0,IF(I92&lt;15,Ceilings!$S$3*I92,Ceilings!$S$3*14+Ceilings!$S$4*(I92-14))))</f>
        <v/>
      </c>
      <c r="P92" s="183" t="str">
        <f t="shared" si="14"/>
        <v/>
      </c>
      <c r="Q92" s="436"/>
      <c r="R92" s="266" t="str">
        <f>IF(OR(ISBLANK($D92),ISBLANK($K92),ISBLANK(Q92)),"",Ceilings!$V$3*Q92)</f>
        <v/>
      </c>
      <c r="S92" s="72" t="str">
        <f t="shared" si="11"/>
        <v/>
      </c>
    </row>
    <row r="93" spans="1:19" ht="15.75" customHeight="1">
      <c r="A93" s="506"/>
      <c r="B93" s="51" t="str">
        <f>IF(ISBLANK(A93),"",VLOOKUP(A93,Management!$A$11:$C$25,2,0))</f>
        <v/>
      </c>
      <c r="C93" s="437"/>
      <c r="D93" s="58"/>
      <c r="E93" s="437"/>
      <c r="F93" s="434"/>
      <c r="G93" s="95" t="str">
        <f t="shared" si="12"/>
        <v/>
      </c>
      <c r="H93" s="435"/>
      <c r="I93" s="434"/>
      <c r="J93" s="95" t="str">
        <f t="shared" si="13"/>
        <v/>
      </c>
      <c r="K93" s="81"/>
      <c r="L93" s="362"/>
      <c r="M93" s="256" t="str">
        <f t="shared" si="10"/>
        <v/>
      </c>
      <c r="N93" s="184" t="str">
        <f>IF(OR(ISBLANK($D93),ISBLANK($K93),ISBLANK($L93)),"",IF($L93="0–9 km",0,IF(LEFT($D93,18)="Short-term blended",IF($F93&lt;15,Ceilings!$S$6*$F93,Ceilings!$S$6*14+Ceilings!$S$7*($F93-14)),IF(LEFT($D93,18)="Short-term joint s",IF($F93&lt;15,Ceilings!$S$3*$F93,Ceilings!$S$3*14+Ceilings!$S$4*($F93-14)),VLOOKUP($K93,Subsistence,2,0)*14+VLOOKUP($K93,Subsistence,3,0)*46+VLOOKUP($K93,Subsistence,4,0)*($F93-60)))))</f>
        <v/>
      </c>
      <c r="O93" s="185" t="str">
        <f>IF(OR(ISBLANK(D93),ISBLANK(H93),ISBLANK(K93),ISBLANK(L93)),"",IF(L93="0–9 km",0,IF(I93&lt;15,Ceilings!$S$3*I93,Ceilings!$S$3*14+Ceilings!$S$4*(I93-14))))</f>
        <v/>
      </c>
      <c r="P93" s="183" t="str">
        <f t="shared" si="14"/>
        <v/>
      </c>
      <c r="Q93" s="436"/>
      <c r="R93" s="266" t="str">
        <f>IF(OR(ISBLANK($D93),ISBLANK($K93),ISBLANK(Q93)),"",Ceilings!$V$3*Q93)</f>
        <v/>
      </c>
      <c r="S93" s="72" t="str">
        <f t="shared" si="11"/>
        <v/>
      </c>
    </row>
    <row r="94" spans="1:19" ht="15.75" customHeight="1">
      <c r="A94" s="506"/>
      <c r="B94" s="51" t="str">
        <f>IF(ISBLANK(A94),"",VLOOKUP(A94,Management!$A$11:$C$25,2,0))</f>
        <v/>
      </c>
      <c r="C94" s="437"/>
      <c r="D94" s="58"/>
      <c r="E94" s="437"/>
      <c r="F94" s="434"/>
      <c r="G94" s="95" t="str">
        <f t="shared" si="12"/>
        <v/>
      </c>
      <c r="H94" s="435"/>
      <c r="I94" s="434"/>
      <c r="J94" s="95" t="str">
        <f t="shared" si="13"/>
        <v/>
      </c>
      <c r="K94" s="81"/>
      <c r="L94" s="362"/>
      <c r="M94" s="256" t="str">
        <f t="shared" si="10"/>
        <v/>
      </c>
      <c r="N94" s="184" t="str">
        <f>IF(OR(ISBLANK($D94),ISBLANK($K94),ISBLANK($L94)),"",IF($L94="0–9 km",0,IF(LEFT($D94,18)="Short-term blended",IF($F94&lt;15,Ceilings!$S$6*$F94,Ceilings!$S$6*14+Ceilings!$S$7*($F94-14)),IF(LEFT($D94,18)="Short-term joint s",IF($F94&lt;15,Ceilings!$S$3*$F94,Ceilings!$S$3*14+Ceilings!$S$4*($F94-14)),VLOOKUP($K94,Subsistence,2,0)*14+VLOOKUP($K94,Subsistence,3,0)*46+VLOOKUP($K94,Subsistence,4,0)*($F94-60)))))</f>
        <v/>
      </c>
      <c r="O94" s="185" t="str">
        <f>IF(OR(ISBLANK(D94),ISBLANK(H94),ISBLANK(K94),ISBLANK(L94)),"",IF(L94="0–9 km",0,IF(I94&lt;15,Ceilings!$S$3*I94,Ceilings!$S$3*14+Ceilings!$S$4*(I94-14))))</f>
        <v/>
      </c>
      <c r="P94" s="183" t="str">
        <f t="shared" si="14"/>
        <v/>
      </c>
      <c r="Q94" s="436"/>
      <c r="R94" s="266" t="str">
        <f>IF(OR(ISBLANK($D94),ISBLANK($K94),ISBLANK(Q94)),"",Ceilings!$V$3*Q94)</f>
        <v/>
      </c>
      <c r="S94" s="72" t="str">
        <f t="shared" si="11"/>
        <v/>
      </c>
    </row>
    <row r="95" spans="1:19" ht="15.75" customHeight="1">
      <c r="A95" s="506"/>
      <c r="B95" s="51" t="str">
        <f>IF(ISBLANK(A95),"",VLOOKUP(A95,Management!$A$11:$C$25,2,0))</f>
        <v/>
      </c>
      <c r="C95" s="437"/>
      <c r="D95" s="58"/>
      <c r="E95" s="437"/>
      <c r="F95" s="434"/>
      <c r="G95" s="95" t="str">
        <f t="shared" si="12"/>
        <v/>
      </c>
      <c r="H95" s="435"/>
      <c r="I95" s="434"/>
      <c r="J95" s="95" t="str">
        <f t="shared" si="13"/>
        <v/>
      </c>
      <c r="K95" s="81"/>
      <c r="L95" s="362"/>
      <c r="M95" s="256" t="str">
        <f t="shared" si="10"/>
        <v/>
      </c>
      <c r="N95" s="184" t="str">
        <f>IF(OR(ISBLANK($D95),ISBLANK($K95),ISBLANK($L95)),"",IF($L95="0–9 km",0,IF(LEFT($D95,18)="Short-term blended",IF($F95&lt;15,Ceilings!$S$6*$F95,Ceilings!$S$6*14+Ceilings!$S$7*($F95-14)),IF(LEFT($D95,18)="Short-term joint s",IF($F95&lt;15,Ceilings!$S$3*$F95,Ceilings!$S$3*14+Ceilings!$S$4*($F95-14)),VLOOKUP($K95,Subsistence,2,0)*14+VLOOKUP($K95,Subsistence,3,0)*46+VLOOKUP($K95,Subsistence,4,0)*($F95-60)))))</f>
        <v/>
      </c>
      <c r="O95" s="185" t="str">
        <f>IF(OR(ISBLANK(D95),ISBLANK(H95),ISBLANK(K95),ISBLANK(L95)),"",IF(L95="0–9 km",0,IF(I95&lt;15,Ceilings!$S$3*I95,Ceilings!$S$3*14+Ceilings!$S$4*(I95-14))))</f>
        <v/>
      </c>
      <c r="P95" s="183" t="str">
        <f t="shared" si="14"/>
        <v/>
      </c>
      <c r="Q95" s="436"/>
      <c r="R95" s="266" t="str">
        <f>IF(OR(ISBLANK($D95),ISBLANK($K95),ISBLANK(Q95)),"",Ceilings!$V$3*Q95)</f>
        <v/>
      </c>
      <c r="S95" s="72" t="str">
        <f t="shared" si="11"/>
        <v/>
      </c>
    </row>
    <row r="96" spans="1:19" ht="15.75" customHeight="1">
      <c r="A96" s="506"/>
      <c r="B96" s="51" t="str">
        <f>IF(ISBLANK(A96),"",VLOOKUP(A96,Management!$A$11:$C$25,2,0))</f>
        <v/>
      </c>
      <c r="C96" s="437"/>
      <c r="D96" s="58"/>
      <c r="E96" s="437"/>
      <c r="F96" s="434"/>
      <c r="G96" s="95" t="str">
        <f t="shared" si="12"/>
        <v/>
      </c>
      <c r="H96" s="435"/>
      <c r="I96" s="434"/>
      <c r="J96" s="95" t="str">
        <f t="shared" si="13"/>
        <v/>
      </c>
      <c r="K96" s="81"/>
      <c r="L96" s="362"/>
      <c r="M96" s="256" t="str">
        <f t="shared" si="10"/>
        <v/>
      </c>
      <c r="N96" s="184" t="str">
        <f>IF(OR(ISBLANK($D96),ISBLANK($K96),ISBLANK($L96)),"",IF($L96="0–9 km",0,IF(LEFT($D96,18)="Short-term blended",IF($F96&lt;15,Ceilings!$S$6*$F96,Ceilings!$S$6*14+Ceilings!$S$7*($F96-14)),IF(LEFT($D96,18)="Short-term joint s",IF($F96&lt;15,Ceilings!$S$3*$F96,Ceilings!$S$3*14+Ceilings!$S$4*($F96-14)),VLOOKUP($K96,Subsistence,2,0)*14+VLOOKUP($K96,Subsistence,3,0)*46+VLOOKUP($K96,Subsistence,4,0)*($F96-60)))))</f>
        <v/>
      </c>
      <c r="O96" s="185" t="str">
        <f>IF(OR(ISBLANK(D96),ISBLANK(H96),ISBLANK(K96),ISBLANK(L96)),"",IF(L96="0–9 km",0,IF(I96&lt;15,Ceilings!$S$3*I96,Ceilings!$S$3*14+Ceilings!$S$4*(I96-14))))</f>
        <v/>
      </c>
      <c r="P96" s="183" t="str">
        <f t="shared" si="14"/>
        <v/>
      </c>
      <c r="Q96" s="436"/>
      <c r="R96" s="266" t="str">
        <f>IF(OR(ISBLANK($D96),ISBLANK($K96),ISBLANK(Q96)),"",Ceilings!$V$3*Q96)</f>
        <v/>
      </c>
      <c r="S96" s="72" t="str">
        <f t="shared" si="11"/>
        <v/>
      </c>
    </row>
    <row r="97" spans="1:19" ht="15.75" customHeight="1">
      <c r="A97" s="506"/>
      <c r="B97" s="51" t="str">
        <f>IF(ISBLANK(A97),"",VLOOKUP(A97,Management!$A$11:$C$25,2,0))</f>
        <v/>
      </c>
      <c r="C97" s="437"/>
      <c r="D97" s="58"/>
      <c r="E97" s="437"/>
      <c r="F97" s="434"/>
      <c r="G97" s="95" t="str">
        <f t="shared" si="12"/>
        <v/>
      </c>
      <c r="H97" s="435"/>
      <c r="I97" s="434"/>
      <c r="J97" s="95" t="str">
        <f t="shared" si="13"/>
        <v/>
      </c>
      <c r="K97" s="81"/>
      <c r="L97" s="362"/>
      <c r="M97" s="256" t="str">
        <f t="shared" si="10"/>
        <v/>
      </c>
      <c r="N97" s="184" t="str">
        <f>IF(OR(ISBLANK($D97),ISBLANK($K97),ISBLANK($L97)),"",IF($L97="0–9 km",0,IF(LEFT($D97,18)="Short-term blended",IF($F97&lt;15,Ceilings!$S$6*$F97,Ceilings!$S$6*14+Ceilings!$S$7*($F97-14)),IF(LEFT($D97,18)="Short-term joint s",IF($F97&lt;15,Ceilings!$S$3*$F97,Ceilings!$S$3*14+Ceilings!$S$4*($F97-14)),VLOOKUP($K97,Subsistence,2,0)*14+VLOOKUP($K97,Subsistence,3,0)*46+VLOOKUP($K97,Subsistence,4,0)*($F97-60)))))</f>
        <v/>
      </c>
      <c r="O97" s="185" t="str">
        <f>IF(OR(ISBLANK(D97),ISBLANK(H97),ISBLANK(K97),ISBLANK(L97)),"",IF(L97="0–9 km",0,IF(I97&lt;15,Ceilings!$S$3*I97,Ceilings!$S$3*14+Ceilings!$S$4*(I97-14))))</f>
        <v/>
      </c>
      <c r="P97" s="183" t="str">
        <f t="shared" si="14"/>
        <v/>
      </c>
      <c r="Q97" s="436"/>
      <c r="R97" s="266" t="str">
        <f>IF(OR(ISBLANK($D97),ISBLANK($K97),ISBLANK(Q97)),"",Ceilings!$V$3*Q97)</f>
        <v/>
      </c>
      <c r="S97" s="72" t="str">
        <f t="shared" si="11"/>
        <v/>
      </c>
    </row>
    <row r="98" spans="1:19" ht="15.75" customHeight="1">
      <c r="A98" s="506"/>
      <c r="B98" s="51" t="str">
        <f>IF(ISBLANK(A98),"",VLOOKUP(A98,Management!$A$11:$C$25,2,0))</f>
        <v/>
      </c>
      <c r="C98" s="437"/>
      <c r="D98" s="58"/>
      <c r="E98" s="437"/>
      <c r="F98" s="434"/>
      <c r="G98" s="95" t="str">
        <f t="shared" si="12"/>
        <v/>
      </c>
      <c r="H98" s="435"/>
      <c r="I98" s="434"/>
      <c r="J98" s="95" t="str">
        <f t="shared" si="13"/>
        <v/>
      </c>
      <c r="K98" s="81"/>
      <c r="L98" s="362"/>
      <c r="M98" s="256" t="str">
        <f t="shared" si="10"/>
        <v/>
      </c>
      <c r="N98" s="184" t="str">
        <f>IF(OR(ISBLANK($D98),ISBLANK($K98),ISBLANK($L98)),"",IF($L98="0–9 km",0,IF(LEFT($D98,18)="Short-term blended",IF($F98&lt;15,Ceilings!$S$6*$F98,Ceilings!$S$6*14+Ceilings!$S$7*($F98-14)),IF(LEFT($D98,18)="Short-term joint s",IF($F98&lt;15,Ceilings!$S$3*$F98,Ceilings!$S$3*14+Ceilings!$S$4*($F98-14)),VLOOKUP($K98,Subsistence,2,0)*14+VLOOKUP($K98,Subsistence,3,0)*46+VLOOKUP($K98,Subsistence,4,0)*($F98-60)))))</f>
        <v/>
      </c>
      <c r="O98" s="185" t="str">
        <f>IF(OR(ISBLANK(D98),ISBLANK(H98),ISBLANK(K98),ISBLANK(L98)),"",IF(L98="0–9 km",0,IF(I98&lt;15,Ceilings!$S$3*I98,Ceilings!$S$3*14+Ceilings!$S$4*(I98-14))))</f>
        <v/>
      </c>
      <c r="P98" s="183" t="str">
        <f t="shared" si="14"/>
        <v/>
      </c>
      <c r="Q98" s="436"/>
      <c r="R98" s="266" t="str">
        <f>IF(OR(ISBLANK($D98),ISBLANK($K98),ISBLANK(Q98)),"",Ceilings!$V$3*Q98)</f>
        <v/>
      </c>
      <c r="S98" s="72" t="str">
        <f t="shared" si="11"/>
        <v/>
      </c>
    </row>
    <row r="99" spans="1:19" ht="15.75" customHeight="1">
      <c r="A99" s="506"/>
      <c r="B99" s="51" t="str">
        <f>IF(ISBLANK(A99),"",VLOOKUP(A99,Management!$A$11:$C$25,2,0))</f>
        <v/>
      </c>
      <c r="C99" s="437"/>
      <c r="D99" s="58"/>
      <c r="E99" s="437"/>
      <c r="F99" s="434"/>
      <c r="G99" s="95" t="str">
        <f t="shared" si="12"/>
        <v/>
      </c>
      <c r="H99" s="435"/>
      <c r="I99" s="434"/>
      <c r="J99" s="95" t="str">
        <f t="shared" si="13"/>
        <v/>
      </c>
      <c r="K99" s="81"/>
      <c r="L99" s="362"/>
      <c r="M99" s="256" t="str">
        <f t="shared" si="10"/>
        <v/>
      </c>
      <c r="N99" s="184" t="str">
        <f>IF(OR(ISBLANK($D99),ISBLANK($K99),ISBLANK($L99)),"",IF($L99="0–9 km",0,IF(LEFT($D99,18)="Short-term blended",IF($F99&lt;15,Ceilings!$S$6*$F99,Ceilings!$S$6*14+Ceilings!$S$7*($F99-14)),IF(LEFT($D99,18)="Short-term joint s",IF($F99&lt;15,Ceilings!$S$3*$F99,Ceilings!$S$3*14+Ceilings!$S$4*($F99-14)),VLOOKUP($K99,Subsistence,2,0)*14+VLOOKUP($K99,Subsistence,3,0)*46+VLOOKUP($K99,Subsistence,4,0)*($F99-60)))))</f>
        <v/>
      </c>
      <c r="O99" s="185" t="str">
        <f>IF(OR(ISBLANK(D99),ISBLANK(H99),ISBLANK(K99),ISBLANK(L99)),"",IF(L99="0–9 km",0,IF(I99&lt;15,Ceilings!$S$3*I99,Ceilings!$S$3*14+Ceilings!$S$4*(I99-14))))</f>
        <v/>
      </c>
      <c r="P99" s="183" t="str">
        <f t="shared" si="14"/>
        <v/>
      </c>
      <c r="Q99" s="436"/>
      <c r="R99" s="266" t="str">
        <f>IF(OR(ISBLANK($D99),ISBLANK($K99),ISBLANK(Q99)),"",Ceilings!$V$3*Q99)</f>
        <v/>
      </c>
      <c r="S99" s="72" t="str">
        <f t="shared" si="11"/>
        <v/>
      </c>
    </row>
    <row r="100" spans="1:19" ht="15.75" customHeight="1">
      <c r="A100" s="506"/>
      <c r="B100" s="51" t="str">
        <f>IF(ISBLANK(A100),"",VLOOKUP(A100,Management!$A$11:$C$25,2,0))</f>
        <v/>
      </c>
      <c r="C100" s="437"/>
      <c r="D100" s="58"/>
      <c r="E100" s="437"/>
      <c r="F100" s="434"/>
      <c r="G100" s="95" t="str">
        <f t="shared" si="12"/>
        <v/>
      </c>
      <c r="H100" s="435"/>
      <c r="I100" s="434"/>
      <c r="J100" s="95" t="str">
        <f t="shared" si="13"/>
        <v/>
      </c>
      <c r="K100" s="81"/>
      <c r="L100" s="362"/>
      <c r="M100" s="256" t="str">
        <f t="shared" si="10"/>
        <v/>
      </c>
      <c r="N100" s="184" t="str">
        <f>IF(OR(ISBLANK($D100),ISBLANK($K100),ISBLANK($L100)),"",IF($L100="0–9 km",0,IF(LEFT($D100,18)="Short-term blended",IF($F100&lt;15,Ceilings!$S$6*$F100,Ceilings!$S$6*14+Ceilings!$S$7*($F100-14)),IF(LEFT($D100,18)="Short-term joint s",IF($F100&lt;15,Ceilings!$S$3*$F100,Ceilings!$S$3*14+Ceilings!$S$4*($F100-14)),VLOOKUP($K100,Subsistence,2,0)*14+VLOOKUP($K100,Subsistence,3,0)*46+VLOOKUP($K100,Subsistence,4,0)*($F100-60)))))</f>
        <v/>
      </c>
      <c r="O100" s="185" t="str">
        <f>IF(OR(ISBLANK(D100),ISBLANK(H100),ISBLANK(K100),ISBLANK(L100)),"",IF(L100="0–9 km",0,IF(I100&lt;15,Ceilings!$S$3*I100,Ceilings!$S$3*14+Ceilings!$S$4*(I100-14))))</f>
        <v/>
      </c>
      <c r="P100" s="183" t="str">
        <f t="shared" si="14"/>
        <v/>
      </c>
      <c r="Q100" s="436"/>
      <c r="R100" s="266" t="str">
        <f>IF(OR(ISBLANK($D100),ISBLANK($K100),ISBLANK(Q100)),"",Ceilings!$V$3*Q100)</f>
        <v/>
      </c>
      <c r="S100" s="72" t="str">
        <f t="shared" si="11"/>
        <v/>
      </c>
    </row>
    <row r="101" spans="1:19" ht="15.75" customHeight="1">
      <c r="A101" s="506"/>
      <c r="B101" s="51" t="str">
        <f>IF(ISBLANK(A101),"",VLOOKUP(A101,Management!$A$11:$C$25,2,0))</f>
        <v/>
      </c>
      <c r="C101" s="437"/>
      <c r="D101" s="58"/>
      <c r="E101" s="437"/>
      <c r="F101" s="434"/>
      <c r="G101" s="95" t="str">
        <f t="shared" si="12"/>
        <v/>
      </c>
      <c r="H101" s="435"/>
      <c r="I101" s="434"/>
      <c r="J101" s="95" t="str">
        <f t="shared" si="13"/>
        <v/>
      </c>
      <c r="K101" s="81"/>
      <c r="L101" s="362"/>
      <c r="M101" s="256" t="str">
        <f t="shared" si="10"/>
        <v/>
      </c>
      <c r="N101" s="184" t="str">
        <f>IF(OR(ISBLANK($D101),ISBLANK($K101),ISBLANK($L101)),"",IF($L101="0–9 km",0,IF(LEFT($D101,18)="Short-term blended",IF($F101&lt;15,Ceilings!$S$6*$F101,Ceilings!$S$6*14+Ceilings!$S$7*($F101-14)),IF(LEFT($D101,18)="Short-term joint s",IF($F101&lt;15,Ceilings!$S$3*$F101,Ceilings!$S$3*14+Ceilings!$S$4*($F101-14)),VLOOKUP($K101,Subsistence,2,0)*14+VLOOKUP($K101,Subsistence,3,0)*46+VLOOKUP($K101,Subsistence,4,0)*($F101-60)))))</f>
        <v/>
      </c>
      <c r="O101" s="185" t="str">
        <f>IF(OR(ISBLANK(D101),ISBLANK(H101),ISBLANK(K101),ISBLANK(L101)),"",IF(L101="0–9 km",0,IF(I101&lt;15,Ceilings!$S$3*I101,Ceilings!$S$3*14+Ceilings!$S$4*(I101-14))))</f>
        <v/>
      </c>
      <c r="P101" s="183" t="str">
        <f t="shared" si="14"/>
        <v/>
      </c>
      <c r="Q101" s="436"/>
      <c r="R101" s="266" t="str">
        <f>IF(OR(ISBLANK($D101),ISBLANK($K101),ISBLANK(Q101)),"",Ceilings!$V$3*Q101)</f>
        <v/>
      </c>
      <c r="S101" s="72" t="str">
        <f t="shared" si="11"/>
        <v/>
      </c>
    </row>
    <row r="102" spans="1:19" ht="15.75" customHeight="1">
      <c r="A102" s="506"/>
      <c r="B102" s="51" t="str">
        <f>IF(ISBLANK(A102),"",VLOOKUP(A102,Management!$A$11:$C$25,2,0))</f>
        <v/>
      </c>
      <c r="C102" s="437"/>
      <c r="D102" s="58"/>
      <c r="E102" s="437"/>
      <c r="F102" s="434"/>
      <c r="G102" s="95" t="str">
        <f t="shared" si="12"/>
        <v/>
      </c>
      <c r="H102" s="435"/>
      <c r="I102" s="434"/>
      <c r="J102" s="95" t="str">
        <f t="shared" si="13"/>
        <v/>
      </c>
      <c r="K102" s="81"/>
      <c r="L102" s="362"/>
      <c r="M102" s="256" t="str">
        <f t="shared" si="10"/>
        <v/>
      </c>
      <c r="N102" s="184" t="str">
        <f>IF(OR(ISBLANK($D102),ISBLANK($K102),ISBLANK($L102)),"",IF($L102="0–9 km",0,IF(LEFT($D102,18)="Short-term blended",IF($F102&lt;15,Ceilings!$S$6*$F102,Ceilings!$S$6*14+Ceilings!$S$7*($F102-14)),IF(LEFT($D102,18)="Short-term joint s",IF($F102&lt;15,Ceilings!$S$3*$F102,Ceilings!$S$3*14+Ceilings!$S$4*($F102-14)),VLOOKUP($K102,Subsistence,2,0)*14+VLOOKUP($K102,Subsistence,3,0)*46+VLOOKUP($K102,Subsistence,4,0)*($F102-60)))))</f>
        <v/>
      </c>
      <c r="O102" s="185" t="str">
        <f>IF(OR(ISBLANK(D102),ISBLANK(H102),ISBLANK(K102),ISBLANK(L102)),"",IF(L102="0–9 km",0,IF(I102&lt;15,Ceilings!$S$3*I102,Ceilings!$S$3*14+Ceilings!$S$4*(I102-14))))</f>
        <v/>
      </c>
      <c r="P102" s="183" t="str">
        <f t="shared" si="14"/>
        <v/>
      </c>
      <c r="Q102" s="436"/>
      <c r="R102" s="266" t="str">
        <f>IF(OR(ISBLANK($D102),ISBLANK($K102),ISBLANK(Q102)),"",Ceilings!$V$3*Q102)</f>
        <v/>
      </c>
      <c r="S102" s="72" t="str">
        <f t="shared" si="11"/>
        <v/>
      </c>
    </row>
    <row r="103" spans="1:19" ht="15.75" customHeight="1">
      <c r="A103" s="506"/>
      <c r="B103" s="51" t="str">
        <f>IF(ISBLANK(A103),"",VLOOKUP(A103,Management!$A$11:$C$25,2,0))</f>
        <v/>
      </c>
      <c r="C103" s="437"/>
      <c r="D103" s="58"/>
      <c r="E103" s="437"/>
      <c r="F103" s="434"/>
      <c r="G103" s="95" t="str">
        <f t="shared" si="12"/>
        <v/>
      </c>
      <c r="H103" s="435"/>
      <c r="I103" s="434"/>
      <c r="J103" s="95" t="str">
        <f t="shared" si="13"/>
        <v/>
      </c>
      <c r="K103" s="81"/>
      <c r="L103" s="362"/>
      <c r="M103" s="256" t="str">
        <f>IF(ISBLANK(L103),"",(E103+H103)*VLOOKUP(L103,TravelGrant,2,0))</f>
        <v/>
      </c>
      <c r="N103" s="184" t="str">
        <f>IF(OR(ISBLANK($D103),ISBLANK($K103),ISBLANK($L103)),"",IF($L103="0–9 km",0,IF(LEFT($D103,18)="Short-term blended",IF($F103&lt;15,Ceilings!$S$6*$F103,Ceilings!$S$6*14+Ceilings!$S$7*($F103-14)),IF(LEFT($D103,18)="Short-term joint s",IF($F103&lt;15,Ceilings!$S$3*$F103,Ceilings!$S$3*14+Ceilings!$S$4*($F103-14)),VLOOKUP($K103,Subsistence,2,0)*14+VLOOKUP($K103,Subsistence,3,0)*46+VLOOKUP($K103,Subsistence,4,0)*($F103-60)))))</f>
        <v/>
      </c>
      <c r="O103" s="185" t="str">
        <f>IF(OR(ISBLANK(D103),ISBLANK(H103),ISBLANK(K103),ISBLANK(L103)),"",IF(L103="0–9 km",0,IF(I103&lt;15,Ceilings!$S$3*I103,Ceilings!$S$3*14+Ceilings!$S$4*(I103-14))))</f>
        <v/>
      </c>
      <c r="P103" s="183" t="str">
        <f t="shared" si="14"/>
        <v/>
      </c>
      <c r="Q103" s="436"/>
      <c r="R103" s="266" t="str">
        <f>IF(OR(ISBLANK($D103),ISBLANK($K103),ISBLANK(Q103)),"",Ceilings!$V$3*Q103)</f>
        <v/>
      </c>
      <c r="S103" s="72" t="str">
        <f t="shared" si="11"/>
        <v/>
      </c>
    </row>
    <row r="104" spans="1:19" ht="15.75" customHeight="1">
      <c r="A104" s="506"/>
      <c r="B104" s="51" t="str">
        <f>IF(ISBLANK(A104),"",VLOOKUP(A104,Management!$A$11:$C$25,2,0))</f>
        <v/>
      </c>
      <c r="C104" s="437"/>
      <c r="D104" s="58"/>
      <c r="E104" s="437"/>
      <c r="F104" s="434"/>
      <c r="G104" s="95" t="str">
        <f t="shared" si="12"/>
        <v/>
      </c>
      <c r="H104" s="435"/>
      <c r="I104" s="434"/>
      <c r="J104" s="95" t="str">
        <f t="shared" si="13"/>
        <v/>
      </c>
      <c r="K104" s="81"/>
      <c r="L104" s="362"/>
      <c r="M104" s="256" t="str">
        <f>IF(ISBLANK(L104),"",(E104+H104)*VLOOKUP(L104,TravelGrant,2,0))</f>
        <v/>
      </c>
      <c r="N104" s="184" t="str">
        <f>IF(OR(ISBLANK($D104),ISBLANK($K104),ISBLANK($L104)),"",IF($L104="0–9 km",0,IF(LEFT($D104,18)="Short-term blended",IF($F104&lt;15,Ceilings!$S$6*$F104,Ceilings!$S$6*14+Ceilings!$S$7*($F104-14)),IF(LEFT($D104,18)="Short-term joint s",IF($F104&lt;15,Ceilings!$S$3*$F104,Ceilings!$S$3*14+Ceilings!$S$4*($F104-14)),VLOOKUP($K104,Subsistence,2,0)*14+VLOOKUP($K104,Subsistence,3,0)*46+VLOOKUP($K104,Subsistence,4,0)*($F104-60)))))</f>
        <v/>
      </c>
      <c r="O104" s="185" t="str">
        <f>IF(OR(ISBLANK(D104),ISBLANK(H104),ISBLANK(K104),ISBLANK(L104)),"",IF(L104="0–9 km",0,IF(I104&lt;15,Ceilings!$S$3*I104,Ceilings!$S$3*14+Ceilings!$S$4*(I104-14))))</f>
        <v/>
      </c>
      <c r="P104" s="183" t="str">
        <f t="shared" si="14"/>
        <v/>
      </c>
      <c r="Q104" s="436"/>
      <c r="R104" s="266" t="str">
        <f>IF(OR(ISBLANK($D104),ISBLANK($K104),ISBLANK(Q104)),"",Ceilings!$V$3*Q104)</f>
        <v/>
      </c>
      <c r="S104" s="72" t="str">
        <f t="shared" si="11"/>
        <v/>
      </c>
    </row>
    <row r="105" spans="1:19" ht="15.75" customHeight="1">
      <c r="A105" s="506"/>
      <c r="B105" s="51" t="str">
        <f>IF(ISBLANK(A105),"",VLOOKUP(A105,Management!$A$11:$C$25,2,0))</f>
        <v/>
      </c>
      <c r="C105" s="437"/>
      <c r="D105" s="58"/>
      <c r="E105" s="437"/>
      <c r="F105" s="434"/>
      <c r="G105" s="95" t="str">
        <f t="shared" si="12"/>
        <v/>
      </c>
      <c r="H105" s="435"/>
      <c r="I105" s="434"/>
      <c r="J105" s="95" t="str">
        <f t="shared" si="13"/>
        <v/>
      </c>
      <c r="K105" s="81"/>
      <c r="L105" s="362"/>
      <c r="M105" s="256" t="str">
        <f>IF(ISBLANK(L105),"",(E105+H105)*VLOOKUP(L105,TravelGrant,2,0))</f>
        <v/>
      </c>
      <c r="N105" s="184" t="str">
        <f>IF(OR(ISBLANK($D105),ISBLANK($K105),ISBLANK($L105)),"",IF($L105="0–9 km",0,IF(LEFT($D105,18)="Short-term blended",IF($F105&lt;15,Ceilings!$S$6*$F105,Ceilings!$S$6*14+Ceilings!$S$7*($F105-14)),IF(LEFT($D105,18)="Short-term joint s",IF($F105&lt;15,Ceilings!$S$3*$F105,Ceilings!$S$3*14+Ceilings!$S$4*($F105-14)),VLOOKUP($K105,Subsistence,2,0)*14+VLOOKUP($K105,Subsistence,3,0)*46+VLOOKUP($K105,Subsistence,4,0)*($F105-60)))))</f>
        <v/>
      </c>
      <c r="O105" s="185" t="str">
        <f>IF(OR(ISBLANK(D105),ISBLANK(H105),ISBLANK(K105),ISBLANK(L105)),"",IF(L105="0–9 km",0,IF(I105&lt;15,Ceilings!$S$3*I105,Ceilings!$S$3*14+Ceilings!$S$4*(I105-14))))</f>
        <v/>
      </c>
      <c r="P105" s="183" t="str">
        <f t="shared" si="14"/>
        <v/>
      </c>
      <c r="Q105" s="436"/>
      <c r="R105" s="266" t="str">
        <f>IF(OR(ISBLANK($D105),ISBLANK($K105),ISBLANK(Q105)),"",Ceilings!$V$3*Q105)</f>
        <v/>
      </c>
      <c r="S105" s="72" t="str">
        <f t="shared" si="11"/>
        <v/>
      </c>
    </row>
    <row r="106" spans="1:19" ht="15.75" customHeight="1" thickBot="1">
      <c r="A106" s="507"/>
      <c r="B106" s="52" t="str">
        <f>IF(ISBLANK(A106),"",VLOOKUP(A106,Management!$A$11:$C$25,2,0))</f>
        <v/>
      </c>
      <c r="C106" s="438"/>
      <c r="D106" s="59"/>
      <c r="E106" s="438"/>
      <c r="F106" s="439"/>
      <c r="G106" s="96" t="str">
        <f t="shared" si="12"/>
        <v/>
      </c>
      <c r="H106" s="440"/>
      <c r="I106" s="439"/>
      <c r="J106" s="96" t="str">
        <f t="shared" si="13"/>
        <v/>
      </c>
      <c r="K106" s="82"/>
      <c r="L106" s="363"/>
      <c r="M106" s="258" t="str">
        <f>IF(ISBLANK(L106),"",(E106+H106)*VLOOKUP(L106,TravelGrant,2,0))</f>
        <v/>
      </c>
      <c r="N106" s="187" t="str">
        <f>IF(OR(ISBLANK($D106),ISBLANK($K106),ISBLANK($L106)),"",IF($L106="0–9 km",0,IF(LEFT($D106,18)="Short-term blended",IF($F106&lt;15,Ceilings!$S$6*$F106,Ceilings!$S$6*14+Ceilings!$S$7*($F106-14)),IF(LEFT($D106,18)="Short-term joint s",IF($F106&lt;15,Ceilings!$S$3*$F106,Ceilings!$S$3*14+Ceilings!$S$4*($F106-14)),VLOOKUP($K106,Subsistence,2,0)*14+VLOOKUP($K106,Subsistence,3,0)*46+VLOOKUP($K106,Subsistence,4,0)*($F106-60)))))</f>
        <v/>
      </c>
      <c r="O106" s="188" t="str">
        <f>IF(OR(ISBLANK(D106),ISBLANK(H106),ISBLANK(K106),ISBLANK(L106)),"",IF(L106="0–9 km",0,IF(I106&lt;15,Ceilings!$S$3*I106,Ceilings!$S$3*14+Ceilings!$S$4*(I106-14))))</f>
        <v/>
      </c>
      <c r="P106" s="186" t="str">
        <f t="shared" si="14"/>
        <v/>
      </c>
      <c r="Q106" s="441"/>
      <c r="R106" s="267" t="str">
        <f>IF(OR(ISBLANK($D106),ISBLANK($K106),ISBLANK(Q106)),"",Ceilings!$V$3*Q106)</f>
        <v/>
      </c>
      <c r="S106" s="76" t="str">
        <f t="shared" si="11"/>
        <v/>
      </c>
    </row>
    <row r="107" spans="1:19">
      <c r="E107" s="41">
        <f>SUM(E7:E106)</f>
        <v>0</v>
      </c>
      <c r="H107" s="41">
        <f>SUM(H7:H106)</f>
        <v>0</v>
      </c>
      <c r="Q107" s="41"/>
    </row>
  </sheetData>
  <sheetProtection password="B516" sheet="1" sort="0" autoFilter="0"/>
  <mergeCells count="18">
    <mergeCell ref="E1:H2"/>
    <mergeCell ref="J1:R1"/>
    <mergeCell ref="B2:C2"/>
    <mergeCell ref="J2:R2"/>
    <mergeCell ref="S4:S5"/>
    <mergeCell ref="F4:G5"/>
    <mergeCell ref="H4:H5"/>
    <mergeCell ref="I4:J5"/>
    <mergeCell ref="K4:K5"/>
    <mergeCell ref="L4:L5"/>
    <mergeCell ref="M4:M5"/>
    <mergeCell ref="N4:P4"/>
    <mergeCell ref="Q4:R4"/>
    <mergeCell ref="A4:A5"/>
    <mergeCell ref="B4:B5"/>
    <mergeCell ref="C4:C5"/>
    <mergeCell ref="D4:D5"/>
    <mergeCell ref="E4:E5"/>
  </mergeCells>
  <phoneticPr fontId="7" type="noConversion"/>
  <conditionalFormatting sqref="H7 H77:H106">
    <cfRule type="expression" dxfId="9" priority="10" stopIfTrue="1">
      <formula>LEFT($D7,18)="Short-term blended"</formula>
    </cfRule>
  </conditionalFormatting>
  <conditionalFormatting sqref="Q7 Q77:Q106">
    <cfRule type="expression" dxfId="8" priority="9" stopIfTrue="1">
      <formula>LEFT($D7,4)="Long"</formula>
    </cfRule>
  </conditionalFormatting>
  <conditionalFormatting sqref="K7 K77:K106">
    <cfRule type="expression" priority="6" stopIfTrue="1">
      <formula>ISBLANK(K7)</formula>
    </cfRule>
    <cfRule type="expression" priority="7" stopIfTrue="1">
      <formula>LEFT($D7,16)="Short term joint"</formula>
    </cfRule>
    <cfRule type="cellIs" dxfId="7" priority="8" stopIfTrue="1" operator="equal">
      <formula>$B7</formula>
    </cfRule>
  </conditionalFormatting>
  <conditionalFormatting sqref="H8:H76">
    <cfRule type="expression" dxfId="6" priority="5" stopIfTrue="1">
      <formula>LEFT($D8,18)="Short-term blended"</formula>
    </cfRule>
  </conditionalFormatting>
  <conditionalFormatting sqref="Q8:Q76">
    <cfRule type="expression" dxfId="5" priority="4" stopIfTrue="1">
      <formula>LEFT($D8,4)="Long"</formula>
    </cfRule>
  </conditionalFormatting>
  <conditionalFormatting sqref="K8:K76">
    <cfRule type="expression" priority="1" stopIfTrue="1">
      <formula>ISBLANK(K8)</formula>
    </cfRule>
    <cfRule type="expression" priority="2" stopIfTrue="1">
      <formula>LEFT($D8,16)="Short term joint"</formula>
    </cfRule>
    <cfRule type="cellIs" dxfId="4" priority="3" stopIfTrue="1" operator="equal">
      <formula>$B8</formula>
    </cfRule>
  </conditionalFormatting>
  <dataValidations count="9">
    <dataValidation type="custom" showInputMessage="1" showErrorMessage="1" sqref="Q7:Q106">
      <formula1>LEFT($D7,4)="Long"</formula1>
    </dataValidation>
    <dataValidation type="custom" showInputMessage="1" showErrorMessage="1" sqref="H7:H106">
      <formula1>LEFT($D7,18)="Short-term blended"</formula1>
    </dataValidation>
    <dataValidation type="custom" allowBlank="1" showInputMessage="1" showErrorMessage="1" error="It is not possible greater than for participants." sqref="I7:I106">
      <formula1>I7&lt;=F7</formula1>
    </dataValidation>
    <dataValidation type="list" allowBlank="1" showInputMessage="1" showErrorMessage="1" sqref="K7:K106">
      <formula1>CountriesofPs</formula1>
    </dataValidation>
    <dataValidation type="list" allowBlank="1" showInputMessage="1" showErrorMessage="1" sqref="A7:A106">
      <formula1>Partners</formula1>
    </dataValidation>
    <dataValidation type="list" allowBlank="1" showInputMessage="1" showErrorMessage="1" sqref="D7:D106">
      <formula1>IF(ISNA(MATCH(B7,PCountries,0)),Activity_t,Y_Activity_t)</formula1>
    </dataValidation>
    <dataValidation type="list" allowBlank="1" showInputMessage="1" showErrorMessage="1" sqref="L7:L106">
      <formula1>Distances</formula1>
    </dataValidation>
    <dataValidation allowBlank="1" error="Long-term teaching or training assignments &lt; 367 days, otherwise between 5 and 60 days." sqref="G7:G106 J7:J106"/>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s>
  <printOptions horizontalCentered="1" headings="1"/>
  <pageMargins left="0.27559055118110237" right="0.27559055118110237" top="0.6692913385826772" bottom="0.6692913385826772" header="0.37187500000000001" footer="0.51181102362204722"/>
  <pageSetup paperSize="9" scale="58" fitToHeight="4" orientation="landscape" r:id="rId1"/>
  <headerFooter scaleWithDoc="0">
    <oddHeader>&amp;C&amp;11 2020 - C2  E+ KA226 - HED&amp;RVersion: 2020.09.08. - TKA</oddHeader>
    <oddFooter>&amp;C&amp;"Arial,Félkövér"&amp;A</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408000"/>
    <pageSetUpPr fitToPage="1"/>
  </sheetPr>
  <dimension ref="A1:G36"/>
  <sheetViews>
    <sheetView zoomScaleNormal="100" zoomScaleSheetLayoutView="100" workbookViewId="0">
      <selection activeCell="A6" sqref="A6"/>
    </sheetView>
  </sheetViews>
  <sheetFormatPr defaultColWidth="8.85546875" defaultRowHeight="12.75"/>
  <cols>
    <col min="1" max="1" width="31.42578125" style="29" customWidth="1"/>
    <col min="2" max="2" width="20.42578125" style="24" customWidth="1"/>
    <col min="3" max="3" width="27.85546875" style="41" customWidth="1"/>
    <col min="4" max="4" width="26.28515625" style="41" customWidth="1"/>
    <col min="5" max="5" width="9.28515625" style="42" customWidth="1"/>
    <col min="6" max="6" width="13.7109375" style="42" customWidth="1"/>
    <col min="7" max="7" width="35.7109375" style="10" bestFit="1" customWidth="1"/>
    <col min="8" max="16384" width="8.85546875" style="10"/>
  </cols>
  <sheetData>
    <row r="1" spans="1:7" s="356" customFormat="1" ht="15" customHeight="1">
      <c r="A1" s="99" t="s">
        <v>140</v>
      </c>
      <c r="B1" s="100"/>
      <c r="C1" s="623" t="s">
        <v>454</v>
      </c>
      <c r="D1" s="624"/>
      <c r="E1" s="624"/>
      <c r="F1" s="625"/>
    </row>
    <row r="2" spans="1:7" s="356" customFormat="1" ht="16.5" thickBot="1">
      <c r="A2" s="103" t="s">
        <v>0</v>
      </c>
      <c r="B2" s="104"/>
      <c r="C2" s="626"/>
      <c r="D2" s="627"/>
      <c r="E2" s="627"/>
      <c r="F2" s="628"/>
    </row>
    <row r="3" spans="1:7" s="34" customFormat="1" ht="13.5" customHeight="1" thickBot="1">
      <c r="A3" s="112" t="s">
        <v>1</v>
      </c>
      <c r="B3" s="113"/>
      <c r="C3" s="136"/>
      <c r="D3" s="136"/>
      <c r="E3" s="137"/>
      <c r="F3" s="138"/>
    </row>
    <row r="4" spans="1:7" s="31" customFormat="1" ht="26.25" thickBot="1">
      <c r="A4" s="118" t="s">
        <v>445</v>
      </c>
      <c r="B4" s="119" t="s">
        <v>32</v>
      </c>
      <c r="C4" s="131" t="s">
        <v>141</v>
      </c>
      <c r="D4" s="131" t="s">
        <v>139</v>
      </c>
      <c r="E4" s="132" t="s">
        <v>35</v>
      </c>
      <c r="F4" s="132" t="s">
        <v>310</v>
      </c>
    </row>
    <row r="5" spans="1:7" s="31" customFormat="1" ht="13.5" customHeight="1" thickBot="1">
      <c r="A5" s="139"/>
      <c r="B5" s="123"/>
      <c r="C5" s="123"/>
      <c r="D5" s="124"/>
      <c r="E5" s="175" t="s">
        <v>314</v>
      </c>
      <c r="F5" s="196">
        <f>SUM(F6:F36)</f>
        <v>0</v>
      </c>
      <c r="G5" s="43" t="str">
        <f>IF(F5&gt;50000,"75% of eligible costs ≤ 50 000 EUR per project!","")</f>
        <v/>
      </c>
    </row>
    <row r="6" spans="1:7">
      <c r="A6" s="505"/>
      <c r="B6" s="38" t="str">
        <f>IF(ISBLANK(A6),"",VLOOKUP(A6,Management!$A$11:$C$25,2,0))</f>
        <v/>
      </c>
      <c r="C6" s="495"/>
      <c r="D6" s="495"/>
      <c r="E6" s="496"/>
      <c r="F6" s="174" t="str">
        <f>IF(ISBLANK(A6),"",IF(OR(ISBLANK(C6),ISBLANK(D6),ISBLANK(E6)),"Missing data",ROUND(E6*0.75,0)))</f>
        <v/>
      </c>
    </row>
    <row r="7" spans="1:7">
      <c r="A7" s="506"/>
      <c r="B7" s="39" t="str">
        <f>IF(ISBLANK(A7),"",VLOOKUP(A7,Management!$A$11:$C$25,2,0))</f>
        <v/>
      </c>
      <c r="C7" s="483"/>
      <c r="D7" s="483"/>
      <c r="E7" s="497"/>
      <c r="F7" s="72" t="str">
        <f t="shared" ref="F7:F36" si="0">IF(ISBLANK(A7),"",IF(OR(ISBLANK(C7),ISBLANK(D7),ISBLANK(E7)),"Missing data",ROUND(E7*0.75,0)))</f>
        <v/>
      </c>
    </row>
    <row r="8" spans="1:7">
      <c r="A8" s="506"/>
      <c r="B8" s="39" t="str">
        <f>IF(ISBLANK(A8),"",VLOOKUP(A8,Management!$A$11:$C$25,2,0))</f>
        <v/>
      </c>
      <c r="C8" s="483"/>
      <c r="D8" s="483"/>
      <c r="E8" s="497"/>
      <c r="F8" s="72" t="str">
        <f t="shared" si="0"/>
        <v/>
      </c>
    </row>
    <row r="9" spans="1:7">
      <c r="A9" s="506"/>
      <c r="B9" s="39" t="str">
        <f>IF(ISBLANK(A9),"",VLOOKUP(A9,Management!$A$11:$C$25,2,0))</f>
        <v/>
      </c>
      <c r="C9" s="483"/>
      <c r="D9" s="483"/>
      <c r="E9" s="497"/>
      <c r="F9" s="72" t="str">
        <f t="shared" si="0"/>
        <v/>
      </c>
    </row>
    <row r="10" spans="1:7">
      <c r="A10" s="506"/>
      <c r="B10" s="39" t="str">
        <f>IF(ISBLANK(A10),"",VLOOKUP(A10,Management!$A$11:$C$25,2,0))</f>
        <v/>
      </c>
      <c r="C10" s="483"/>
      <c r="D10" s="483"/>
      <c r="E10" s="497"/>
      <c r="F10" s="72" t="str">
        <f t="shared" si="0"/>
        <v/>
      </c>
    </row>
    <row r="11" spans="1:7">
      <c r="A11" s="506"/>
      <c r="B11" s="39" t="str">
        <f>IF(ISBLANK(A11),"",VLOOKUP(A11,Management!$A$11:$C$25,2,0))</f>
        <v/>
      </c>
      <c r="C11" s="483"/>
      <c r="D11" s="483"/>
      <c r="E11" s="497"/>
      <c r="F11" s="72" t="str">
        <f t="shared" si="0"/>
        <v/>
      </c>
    </row>
    <row r="12" spans="1:7">
      <c r="A12" s="506"/>
      <c r="B12" s="39" t="str">
        <f>IF(ISBLANK(A12),"",VLOOKUP(A12,Management!$A$11:$C$25,2,0))</f>
        <v/>
      </c>
      <c r="C12" s="483"/>
      <c r="D12" s="483"/>
      <c r="E12" s="497"/>
      <c r="F12" s="72" t="str">
        <f t="shared" si="0"/>
        <v/>
      </c>
    </row>
    <row r="13" spans="1:7">
      <c r="A13" s="506"/>
      <c r="B13" s="39" t="str">
        <f>IF(ISBLANK(A13),"",VLOOKUP(A13,Management!$A$11:$C$25,2,0))</f>
        <v/>
      </c>
      <c r="C13" s="483"/>
      <c r="D13" s="483"/>
      <c r="E13" s="497"/>
      <c r="F13" s="72" t="str">
        <f t="shared" si="0"/>
        <v/>
      </c>
    </row>
    <row r="14" spans="1:7">
      <c r="A14" s="506"/>
      <c r="B14" s="39" t="str">
        <f>IF(ISBLANK(A14),"",VLOOKUP(A14,Management!$A$11:$C$25,2,0))</f>
        <v/>
      </c>
      <c r="C14" s="483"/>
      <c r="D14" s="483"/>
      <c r="E14" s="497"/>
      <c r="F14" s="72" t="str">
        <f t="shared" si="0"/>
        <v/>
      </c>
    </row>
    <row r="15" spans="1:7">
      <c r="A15" s="506"/>
      <c r="B15" s="39" t="str">
        <f>IF(ISBLANK(A15),"",VLOOKUP(A15,Management!$A$11:$C$25,2,0))</f>
        <v/>
      </c>
      <c r="C15" s="483"/>
      <c r="D15" s="483"/>
      <c r="E15" s="497"/>
      <c r="F15" s="72" t="str">
        <f t="shared" si="0"/>
        <v/>
      </c>
    </row>
    <row r="16" spans="1:7">
      <c r="A16" s="506"/>
      <c r="B16" s="39" t="str">
        <f>IF(ISBLANK(A16),"",VLOOKUP(A16,Management!$A$11:$C$25,2,0))</f>
        <v/>
      </c>
      <c r="C16" s="483"/>
      <c r="D16" s="483"/>
      <c r="E16" s="497"/>
      <c r="F16" s="72" t="str">
        <f t="shared" si="0"/>
        <v/>
      </c>
    </row>
    <row r="17" spans="1:6">
      <c r="A17" s="506"/>
      <c r="B17" s="39" t="str">
        <f>IF(ISBLANK(A17),"",VLOOKUP(A17,Management!$A$11:$C$25,2,0))</f>
        <v/>
      </c>
      <c r="C17" s="483"/>
      <c r="D17" s="483"/>
      <c r="E17" s="497"/>
      <c r="F17" s="72" t="str">
        <f t="shared" si="0"/>
        <v/>
      </c>
    </row>
    <row r="18" spans="1:6">
      <c r="A18" s="506"/>
      <c r="B18" s="39" t="str">
        <f>IF(ISBLANK(A18),"",VLOOKUP(A18,Management!$A$11:$C$25,2,0))</f>
        <v/>
      </c>
      <c r="C18" s="483"/>
      <c r="D18" s="483"/>
      <c r="E18" s="497"/>
      <c r="F18" s="72" t="str">
        <f t="shared" si="0"/>
        <v/>
      </c>
    </row>
    <row r="19" spans="1:6">
      <c r="A19" s="506"/>
      <c r="B19" s="39" t="str">
        <f>IF(ISBLANK(A19),"",VLOOKUP(A19,Management!$A$11:$C$25,2,0))</f>
        <v/>
      </c>
      <c r="C19" s="483"/>
      <c r="D19" s="483"/>
      <c r="E19" s="497"/>
      <c r="F19" s="72" t="str">
        <f t="shared" si="0"/>
        <v/>
      </c>
    </row>
    <row r="20" spans="1:6">
      <c r="A20" s="506"/>
      <c r="B20" s="39" t="str">
        <f>IF(ISBLANK(A20),"",VLOOKUP(A20,Management!$A$11:$C$25,2,0))</f>
        <v/>
      </c>
      <c r="C20" s="483"/>
      <c r="D20" s="483"/>
      <c r="E20" s="497"/>
      <c r="F20" s="72" t="str">
        <f t="shared" si="0"/>
        <v/>
      </c>
    </row>
    <row r="21" spans="1:6">
      <c r="A21" s="506"/>
      <c r="B21" s="39" t="str">
        <f>IF(ISBLANK(A21),"",VLOOKUP(A21,Management!$A$11:$C$25,2,0))</f>
        <v/>
      </c>
      <c r="C21" s="483"/>
      <c r="D21" s="483"/>
      <c r="E21" s="497"/>
      <c r="F21" s="72" t="str">
        <f t="shared" si="0"/>
        <v/>
      </c>
    </row>
    <row r="22" spans="1:6">
      <c r="A22" s="506"/>
      <c r="B22" s="39" t="str">
        <f>IF(ISBLANK(A22),"",VLOOKUP(A22,Management!$A$11:$C$25,2,0))</f>
        <v/>
      </c>
      <c r="C22" s="483"/>
      <c r="D22" s="483"/>
      <c r="E22" s="497"/>
      <c r="F22" s="72" t="str">
        <f t="shared" si="0"/>
        <v/>
      </c>
    </row>
    <row r="23" spans="1:6">
      <c r="A23" s="506"/>
      <c r="B23" s="39" t="str">
        <f>IF(ISBLANK(A23),"",VLOOKUP(A23,Management!$A$11:$C$25,2,0))</f>
        <v/>
      </c>
      <c r="C23" s="483"/>
      <c r="D23" s="483"/>
      <c r="E23" s="497"/>
      <c r="F23" s="72" t="str">
        <f t="shared" si="0"/>
        <v/>
      </c>
    </row>
    <row r="24" spans="1:6">
      <c r="A24" s="506"/>
      <c r="B24" s="39" t="str">
        <f>IF(ISBLANK(A24),"",VLOOKUP(A24,Management!$A$11:$C$25,2,0))</f>
        <v/>
      </c>
      <c r="C24" s="483"/>
      <c r="D24" s="483"/>
      <c r="E24" s="497"/>
      <c r="F24" s="72" t="str">
        <f t="shared" si="0"/>
        <v/>
      </c>
    </row>
    <row r="25" spans="1:6">
      <c r="A25" s="506"/>
      <c r="B25" s="39" t="str">
        <f>IF(ISBLANK(A25),"",VLOOKUP(A25,Management!$A$11:$C$25,2,0))</f>
        <v/>
      </c>
      <c r="C25" s="483"/>
      <c r="D25" s="483"/>
      <c r="E25" s="497"/>
      <c r="F25" s="72" t="str">
        <f t="shared" si="0"/>
        <v/>
      </c>
    </row>
    <row r="26" spans="1:6">
      <c r="A26" s="506"/>
      <c r="B26" s="39" t="str">
        <f>IF(ISBLANK(A26),"",VLOOKUP(A26,Management!$A$11:$C$25,2,0))</f>
        <v/>
      </c>
      <c r="C26" s="483"/>
      <c r="D26" s="483"/>
      <c r="E26" s="497"/>
      <c r="F26" s="72" t="str">
        <f t="shared" si="0"/>
        <v/>
      </c>
    </row>
    <row r="27" spans="1:6">
      <c r="A27" s="506"/>
      <c r="B27" s="39" t="str">
        <f>IF(ISBLANK(A27),"",VLOOKUP(A27,Management!$A$11:$C$25,2,0))</f>
        <v/>
      </c>
      <c r="C27" s="483"/>
      <c r="D27" s="483"/>
      <c r="E27" s="497"/>
      <c r="F27" s="72" t="str">
        <f t="shared" si="0"/>
        <v/>
      </c>
    </row>
    <row r="28" spans="1:6">
      <c r="A28" s="506"/>
      <c r="B28" s="39" t="str">
        <f>IF(ISBLANK(A28),"",VLOOKUP(A28,Management!$A$11:$C$25,2,0))</f>
        <v/>
      </c>
      <c r="C28" s="483"/>
      <c r="D28" s="483"/>
      <c r="E28" s="497"/>
      <c r="F28" s="72" t="str">
        <f t="shared" si="0"/>
        <v/>
      </c>
    </row>
    <row r="29" spans="1:6">
      <c r="A29" s="506"/>
      <c r="B29" s="39" t="str">
        <f>IF(ISBLANK(A29),"",VLOOKUP(A29,Management!$A$11:$C$25,2,0))</f>
        <v/>
      </c>
      <c r="C29" s="483"/>
      <c r="D29" s="483"/>
      <c r="E29" s="497"/>
      <c r="F29" s="72" t="str">
        <f t="shared" si="0"/>
        <v/>
      </c>
    </row>
    <row r="30" spans="1:6">
      <c r="A30" s="506"/>
      <c r="B30" s="39" t="str">
        <f>IF(ISBLANK(A30),"",VLOOKUP(A30,Management!$A$11:$C$25,2,0))</f>
        <v/>
      </c>
      <c r="C30" s="483"/>
      <c r="D30" s="483"/>
      <c r="E30" s="497"/>
      <c r="F30" s="72" t="str">
        <f t="shared" si="0"/>
        <v/>
      </c>
    </row>
    <row r="31" spans="1:6">
      <c r="A31" s="506"/>
      <c r="B31" s="39" t="str">
        <f>IF(ISBLANK(A31),"",VLOOKUP(A31,Management!$A$11:$C$25,2,0))</f>
        <v/>
      </c>
      <c r="C31" s="483"/>
      <c r="D31" s="483"/>
      <c r="E31" s="497"/>
      <c r="F31" s="72" t="str">
        <f t="shared" si="0"/>
        <v/>
      </c>
    </row>
    <row r="32" spans="1:6">
      <c r="A32" s="506"/>
      <c r="B32" s="39" t="str">
        <f>IF(ISBLANK(A32),"",VLOOKUP(A32,Management!$A$11:$C$25,2,0))</f>
        <v/>
      </c>
      <c r="C32" s="483"/>
      <c r="D32" s="483"/>
      <c r="E32" s="497"/>
      <c r="F32" s="72" t="str">
        <f t="shared" si="0"/>
        <v/>
      </c>
    </row>
    <row r="33" spans="1:6">
      <c r="A33" s="506"/>
      <c r="B33" s="39" t="str">
        <f>IF(ISBLANK(A33),"",VLOOKUP(A33,Management!$A$11:$C$25,2,0))</f>
        <v/>
      </c>
      <c r="C33" s="483"/>
      <c r="D33" s="483"/>
      <c r="E33" s="497"/>
      <c r="F33" s="72" t="str">
        <f t="shared" si="0"/>
        <v/>
      </c>
    </row>
    <row r="34" spans="1:6">
      <c r="A34" s="506"/>
      <c r="B34" s="39" t="str">
        <f>IF(ISBLANK(A34),"",VLOOKUP(A34,Management!$A$11:$C$25,2,0))</f>
        <v/>
      </c>
      <c r="C34" s="483"/>
      <c r="D34" s="483"/>
      <c r="E34" s="497"/>
      <c r="F34" s="72" t="str">
        <f t="shared" si="0"/>
        <v/>
      </c>
    </row>
    <row r="35" spans="1:6">
      <c r="A35" s="506"/>
      <c r="B35" s="39" t="str">
        <f>IF(ISBLANK(A35),"",VLOOKUP(A35,Management!$A$11:$C$25,2,0))</f>
        <v/>
      </c>
      <c r="C35" s="483"/>
      <c r="D35" s="483"/>
      <c r="E35" s="497"/>
      <c r="F35" s="72" t="str">
        <f t="shared" si="0"/>
        <v/>
      </c>
    </row>
    <row r="36" spans="1:6" ht="13.5" thickBot="1">
      <c r="A36" s="507"/>
      <c r="B36" s="22" t="str">
        <f>IF(ISBLANK(A36),"",VLOOKUP(A36,Management!$A$11:$C$25,2,0))</f>
        <v/>
      </c>
      <c r="C36" s="489"/>
      <c r="D36" s="489"/>
      <c r="E36" s="498"/>
      <c r="F36" s="76" t="str">
        <f t="shared" si="0"/>
        <v/>
      </c>
    </row>
  </sheetData>
  <sheetProtection password="B516" sheet="1" sort="0" autoFilter="0"/>
  <mergeCells count="1">
    <mergeCell ref="C1:F2"/>
  </mergeCells>
  <phoneticPr fontId="7" type="noConversion"/>
  <conditionalFormatting sqref="F5">
    <cfRule type="expression" dxfId="3" priority="1" stopIfTrue="1">
      <formula>G5&lt;&gt;""</formula>
    </cfRule>
  </conditionalFormatting>
  <dataValidations count="1">
    <dataValidation type="list" allowBlank="1" showInputMessage="1" showErrorMessage="1" sqref="A6:A36">
      <formula1>Partners</formula1>
    </dataValidation>
  </dataValidations>
  <printOptions horizontalCentered="1" headings="1" gridLines="1"/>
  <pageMargins left="0.7" right="0.7" top="0.75" bottom="0.75" header="0.3" footer="0.3"/>
  <pageSetup paperSize="9" scale="96" orientation="landscape" r:id="rId1"/>
  <headerFooter>
    <oddHeader>&amp;C&amp;11 2020 - C2  E+ KA226 - HED&amp;RVersion: 2020.09.08. - TKA</oddHeader>
    <oddFooter>&amp;C&amp;"Arial,Félkövér"&amp;A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G36"/>
  <sheetViews>
    <sheetView zoomScaleNormal="100" zoomScaleSheetLayoutView="100" workbookViewId="0">
      <selection activeCell="A6" sqref="A6"/>
    </sheetView>
  </sheetViews>
  <sheetFormatPr defaultColWidth="8.85546875" defaultRowHeight="12.75"/>
  <cols>
    <col min="1" max="1" width="31.28515625" style="29" customWidth="1"/>
    <col min="2" max="2" width="19.42578125" style="24" customWidth="1"/>
    <col min="3" max="3" width="27.85546875" style="41" customWidth="1"/>
    <col min="4" max="4" width="26" style="41" customWidth="1"/>
    <col min="5" max="5" width="15.7109375" style="42" customWidth="1"/>
    <col min="6" max="6" width="22.42578125" style="42" bestFit="1" customWidth="1"/>
    <col min="7" max="7" width="35.7109375" style="10" bestFit="1" customWidth="1"/>
    <col min="8" max="16384" width="8.85546875" style="10"/>
  </cols>
  <sheetData>
    <row r="1" spans="1:7" s="356" customFormat="1" ht="15" customHeight="1">
      <c r="A1" s="99" t="s">
        <v>460</v>
      </c>
      <c r="B1" s="100"/>
      <c r="D1" s="623" t="s">
        <v>462</v>
      </c>
      <c r="E1" s="624"/>
      <c r="F1" s="625"/>
    </row>
    <row r="2" spans="1:7" s="356" customFormat="1" ht="16.5" thickBot="1">
      <c r="A2" s="103" t="s">
        <v>0</v>
      </c>
      <c r="B2" s="104"/>
      <c r="D2" s="626"/>
      <c r="E2" s="627"/>
      <c r="F2" s="628"/>
    </row>
    <row r="3" spans="1:7" s="34" customFormat="1" ht="13.5" customHeight="1" thickBot="1">
      <c r="A3" s="112" t="s">
        <v>1</v>
      </c>
      <c r="B3" s="113"/>
      <c r="C3" s="136"/>
      <c r="D3" s="136"/>
      <c r="E3" s="137"/>
      <c r="F3" s="138"/>
    </row>
    <row r="4" spans="1:7" s="31" customFormat="1" ht="26.25" thickBot="1">
      <c r="A4" s="118" t="s">
        <v>445</v>
      </c>
      <c r="B4" s="119" t="s">
        <v>32</v>
      </c>
      <c r="C4" s="131" t="s">
        <v>141</v>
      </c>
      <c r="D4" s="131" t="s">
        <v>139</v>
      </c>
      <c r="E4" s="132" t="s">
        <v>35</v>
      </c>
      <c r="F4" s="132" t="s">
        <v>461</v>
      </c>
    </row>
    <row r="5" spans="1:7" s="31" customFormat="1" ht="13.5" customHeight="1" thickBot="1">
      <c r="A5" s="139"/>
      <c r="B5" s="123"/>
      <c r="C5" s="123"/>
      <c r="D5" s="124"/>
      <c r="E5" s="175" t="s">
        <v>314</v>
      </c>
      <c r="F5" s="196">
        <f>SUM(F6:F36)</f>
        <v>0</v>
      </c>
      <c r="G5" s="43"/>
    </row>
    <row r="6" spans="1:7">
      <c r="A6" s="505"/>
      <c r="B6" s="38" t="str">
        <f>IF(ISBLANK(A6),"",VLOOKUP(A6,Management!$A$11:$C$25,2,0))</f>
        <v/>
      </c>
      <c r="C6" s="495"/>
      <c r="D6" s="495"/>
      <c r="E6" s="496"/>
      <c r="F6" s="174" t="str">
        <f>IF(ISBLANK(A6),"",IF(OR(ISBLANK(C6),ISBLANK(D6),ISBLANK(E6)),"Missing data",ROUND(E6*0.8,0)))</f>
        <v/>
      </c>
    </row>
    <row r="7" spans="1:7">
      <c r="A7" s="506"/>
      <c r="B7" s="39" t="str">
        <f>IF(ISBLANK(A7),"",VLOOKUP(A7,Management!$A$11:$C$25,2,0))</f>
        <v/>
      </c>
      <c r="C7" s="483"/>
      <c r="D7" s="483"/>
      <c r="E7" s="497"/>
      <c r="F7" s="72" t="str">
        <f t="shared" ref="F7:F36" si="0">IF(ISBLANK(A7),"",IF(OR(ISBLANK(C7),ISBLANK(D7),ISBLANK(E7)),"Missing data",ROUND(E7*0.8,0)))</f>
        <v/>
      </c>
    </row>
    <row r="8" spans="1:7">
      <c r="A8" s="506"/>
      <c r="B8" s="39" t="str">
        <f>IF(ISBLANK(A8),"",VLOOKUP(A8,Management!$A$11:$C$25,2,0))</f>
        <v/>
      </c>
      <c r="C8" s="483"/>
      <c r="D8" s="483"/>
      <c r="E8" s="497"/>
      <c r="F8" s="72" t="str">
        <f t="shared" si="0"/>
        <v/>
      </c>
    </row>
    <row r="9" spans="1:7">
      <c r="A9" s="506"/>
      <c r="B9" s="39" t="str">
        <f>IF(ISBLANK(A9),"",VLOOKUP(A9,Management!$A$11:$C$25,2,0))</f>
        <v/>
      </c>
      <c r="C9" s="483"/>
      <c r="D9" s="483"/>
      <c r="E9" s="497"/>
      <c r="F9" s="72" t="str">
        <f t="shared" si="0"/>
        <v/>
      </c>
    </row>
    <row r="10" spans="1:7">
      <c r="A10" s="506"/>
      <c r="B10" s="39" t="str">
        <f>IF(ISBLANK(A10),"",VLOOKUP(A10,Management!$A$11:$C$25,2,0))</f>
        <v/>
      </c>
      <c r="C10" s="483"/>
      <c r="D10" s="483"/>
      <c r="E10" s="497"/>
      <c r="F10" s="72" t="str">
        <f t="shared" si="0"/>
        <v/>
      </c>
    </row>
    <row r="11" spans="1:7">
      <c r="A11" s="506"/>
      <c r="B11" s="39" t="str">
        <f>IF(ISBLANK(A11),"",VLOOKUP(A11,Management!$A$11:$C$25,2,0))</f>
        <v/>
      </c>
      <c r="C11" s="483"/>
      <c r="D11" s="483"/>
      <c r="E11" s="497"/>
      <c r="F11" s="72" t="str">
        <f t="shared" si="0"/>
        <v/>
      </c>
    </row>
    <row r="12" spans="1:7">
      <c r="A12" s="506"/>
      <c r="B12" s="39" t="str">
        <f>IF(ISBLANK(A12),"",VLOOKUP(A12,Management!$A$11:$C$25,2,0))</f>
        <v/>
      </c>
      <c r="C12" s="483"/>
      <c r="D12" s="483"/>
      <c r="E12" s="497"/>
      <c r="F12" s="72" t="str">
        <f t="shared" si="0"/>
        <v/>
      </c>
    </row>
    <row r="13" spans="1:7">
      <c r="A13" s="506"/>
      <c r="B13" s="39" t="str">
        <f>IF(ISBLANK(A13),"",VLOOKUP(A13,Management!$A$11:$C$25,2,0))</f>
        <v/>
      </c>
      <c r="C13" s="483"/>
      <c r="D13" s="483"/>
      <c r="E13" s="497"/>
      <c r="F13" s="72" t="str">
        <f t="shared" si="0"/>
        <v/>
      </c>
    </row>
    <row r="14" spans="1:7">
      <c r="A14" s="506"/>
      <c r="B14" s="39" t="str">
        <f>IF(ISBLANK(A14),"",VLOOKUP(A14,Management!$A$11:$C$25,2,0))</f>
        <v/>
      </c>
      <c r="C14" s="483"/>
      <c r="D14" s="483"/>
      <c r="E14" s="497"/>
      <c r="F14" s="72" t="str">
        <f t="shared" si="0"/>
        <v/>
      </c>
    </row>
    <row r="15" spans="1:7">
      <c r="A15" s="506"/>
      <c r="B15" s="39" t="str">
        <f>IF(ISBLANK(A15),"",VLOOKUP(A15,Management!$A$11:$C$25,2,0))</f>
        <v/>
      </c>
      <c r="C15" s="483"/>
      <c r="D15" s="483"/>
      <c r="E15" s="497"/>
      <c r="F15" s="72" t="str">
        <f t="shared" si="0"/>
        <v/>
      </c>
    </row>
    <row r="16" spans="1:7">
      <c r="A16" s="506"/>
      <c r="B16" s="39" t="str">
        <f>IF(ISBLANK(A16),"",VLOOKUP(A16,Management!$A$11:$C$25,2,0))</f>
        <v/>
      </c>
      <c r="C16" s="483"/>
      <c r="D16" s="483"/>
      <c r="E16" s="497"/>
      <c r="F16" s="72" t="str">
        <f t="shared" si="0"/>
        <v/>
      </c>
    </row>
    <row r="17" spans="1:6">
      <c r="A17" s="506"/>
      <c r="B17" s="39" t="str">
        <f>IF(ISBLANK(A17),"",VLOOKUP(A17,Management!$A$11:$C$25,2,0))</f>
        <v/>
      </c>
      <c r="C17" s="483"/>
      <c r="D17" s="483"/>
      <c r="E17" s="497"/>
      <c r="F17" s="72" t="str">
        <f t="shared" si="0"/>
        <v/>
      </c>
    </row>
    <row r="18" spans="1:6">
      <c r="A18" s="506"/>
      <c r="B18" s="39" t="str">
        <f>IF(ISBLANK(A18),"",VLOOKUP(A18,Management!$A$11:$C$25,2,0))</f>
        <v/>
      </c>
      <c r="C18" s="483"/>
      <c r="D18" s="483"/>
      <c r="E18" s="497"/>
      <c r="F18" s="72" t="str">
        <f t="shared" si="0"/>
        <v/>
      </c>
    </row>
    <row r="19" spans="1:6">
      <c r="A19" s="506"/>
      <c r="B19" s="39" t="str">
        <f>IF(ISBLANK(A19),"",VLOOKUP(A19,Management!$A$11:$C$25,2,0))</f>
        <v/>
      </c>
      <c r="C19" s="483"/>
      <c r="D19" s="483"/>
      <c r="E19" s="497"/>
      <c r="F19" s="72" t="str">
        <f t="shared" si="0"/>
        <v/>
      </c>
    </row>
    <row r="20" spans="1:6">
      <c r="A20" s="506"/>
      <c r="B20" s="39" t="str">
        <f>IF(ISBLANK(A20),"",VLOOKUP(A20,Management!$A$11:$C$25,2,0))</f>
        <v/>
      </c>
      <c r="C20" s="483"/>
      <c r="D20" s="483"/>
      <c r="E20" s="497"/>
      <c r="F20" s="72" t="str">
        <f t="shared" si="0"/>
        <v/>
      </c>
    </row>
    <row r="21" spans="1:6">
      <c r="A21" s="506"/>
      <c r="B21" s="39" t="str">
        <f>IF(ISBLANK(A21),"",VLOOKUP(A21,Management!$A$11:$C$25,2,0))</f>
        <v/>
      </c>
      <c r="C21" s="483"/>
      <c r="D21" s="483"/>
      <c r="E21" s="497"/>
      <c r="F21" s="72" t="str">
        <f t="shared" si="0"/>
        <v/>
      </c>
    </row>
    <row r="22" spans="1:6">
      <c r="A22" s="506"/>
      <c r="B22" s="39" t="str">
        <f>IF(ISBLANK(A22),"",VLOOKUP(A22,Management!$A$11:$C$25,2,0))</f>
        <v/>
      </c>
      <c r="C22" s="483"/>
      <c r="D22" s="483"/>
      <c r="E22" s="497"/>
      <c r="F22" s="72" t="str">
        <f t="shared" si="0"/>
        <v/>
      </c>
    </row>
    <row r="23" spans="1:6">
      <c r="A23" s="506"/>
      <c r="B23" s="39" t="str">
        <f>IF(ISBLANK(A23),"",VLOOKUP(A23,Management!$A$11:$C$25,2,0))</f>
        <v/>
      </c>
      <c r="C23" s="483"/>
      <c r="D23" s="483"/>
      <c r="E23" s="497"/>
      <c r="F23" s="72" t="str">
        <f t="shared" si="0"/>
        <v/>
      </c>
    </row>
    <row r="24" spans="1:6">
      <c r="A24" s="506"/>
      <c r="B24" s="39" t="str">
        <f>IF(ISBLANK(A24),"",VLOOKUP(A24,Management!$A$11:$C$25,2,0))</f>
        <v/>
      </c>
      <c r="C24" s="483"/>
      <c r="D24" s="483"/>
      <c r="E24" s="497"/>
      <c r="F24" s="72" t="str">
        <f t="shared" si="0"/>
        <v/>
      </c>
    </row>
    <row r="25" spans="1:6">
      <c r="A25" s="506"/>
      <c r="B25" s="39" t="str">
        <f>IF(ISBLANK(A25),"",VLOOKUP(A25,Management!$A$11:$C$25,2,0))</f>
        <v/>
      </c>
      <c r="C25" s="483"/>
      <c r="D25" s="483"/>
      <c r="E25" s="497"/>
      <c r="F25" s="72" t="str">
        <f t="shared" si="0"/>
        <v/>
      </c>
    </row>
    <row r="26" spans="1:6">
      <c r="A26" s="506"/>
      <c r="B26" s="39" t="str">
        <f>IF(ISBLANK(A26),"",VLOOKUP(A26,Management!$A$11:$C$25,2,0))</f>
        <v/>
      </c>
      <c r="C26" s="483"/>
      <c r="D26" s="483"/>
      <c r="E26" s="497"/>
      <c r="F26" s="72" t="str">
        <f t="shared" si="0"/>
        <v/>
      </c>
    </row>
    <row r="27" spans="1:6">
      <c r="A27" s="506"/>
      <c r="B27" s="39" t="str">
        <f>IF(ISBLANK(A27),"",VLOOKUP(A27,Management!$A$11:$C$25,2,0))</f>
        <v/>
      </c>
      <c r="C27" s="483"/>
      <c r="D27" s="483"/>
      <c r="E27" s="497"/>
      <c r="F27" s="72" t="str">
        <f t="shared" si="0"/>
        <v/>
      </c>
    </row>
    <row r="28" spans="1:6">
      <c r="A28" s="506"/>
      <c r="B28" s="39" t="str">
        <f>IF(ISBLANK(A28),"",VLOOKUP(A28,Management!$A$11:$C$25,2,0))</f>
        <v/>
      </c>
      <c r="C28" s="483"/>
      <c r="D28" s="483"/>
      <c r="E28" s="497"/>
      <c r="F28" s="72" t="str">
        <f t="shared" si="0"/>
        <v/>
      </c>
    </row>
    <row r="29" spans="1:6">
      <c r="A29" s="506"/>
      <c r="B29" s="39" t="str">
        <f>IF(ISBLANK(A29),"",VLOOKUP(A29,Management!$A$11:$C$25,2,0))</f>
        <v/>
      </c>
      <c r="C29" s="483"/>
      <c r="D29" s="483"/>
      <c r="E29" s="497"/>
      <c r="F29" s="72" t="str">
        <f t="shared" si="0"/>
        <v/>
      </c>
    </row>
    <row r="30" spans="1:6">
      <c r="A30" s="506"/>
      <c r="B30" s="39" t="str">
        <f>IF(ISBLANK(A30),"",VLOOKUP(A30,Management!$A$11:$C$25,2,0))</f>
        <v/>
      </c>
      <c r="C30" s="483"/>
      <c r="D30" s="483"/>
      <c r="E30" s="497"/>
      <c r="F30" s="72" t="str">
        <f t="shared" si="0"/>
        <v/>
      </c>
    </row>
    <row r="31" spans="1:6">
      <c r="A31" s="506"/>
      <c r="B31" s="39" t="str">
        <f>IF(ISBLANK(A31),"",VLOOKUP(A31,Management!$A$11:$C$25,2,0))</f>
        <v/>
      </c>
      <c r="C31" s="483"/>
      <c r="D31" s="483"/>
      <c r="E31" s="497"/>
      <c r="F31" s="72" t="str">
        <f t="shared" si="0"/>
        <v/>
      </c>
    </row>
    <row r="32" spans="1:6">
      <c r="A32" s="506"/>
      <c r="B32" s="39" t="str">
        <f>IF(ISBLANK(A32),"",VLOOKUP(A32,Management!$A$11:$C$25,2,0))</f>
        <v/>
      </c>
      <c r="C32" s="483"/>
      <c r="D32" s="483"/>
      <c r="E32" s="497"/>
      <c r="F32" s="72" t="str">
        <f t="shared" si="0"/>
        <v/>
      </c>
    </row>
    <row r="33" spans="1:6">
      <c r="A33" s="506"/>
      <c r="B33" s="39" t="str">
        <f>IF(ISBLANK(A33),"",VLOOKUP(A33,Management!$A$11:$C$25,2,0))</f>
        <v/>
      </c>
      <c r="C33" s="483"/>
      <c r="D33" s="483"/>
      <c r="E33" s="497"/>
      <c r="F33" s="72" t="str">
        <f t="shared" si="0"/>
        <v/>
      </c>
    </row>
    <row r="34" spans="1:6">
      <c r="A34" s="506"/>
      <c r="B34" s="39" t="str">
        <f>IF(ISBLANK(A34),"",VLOOKUP(A34,Management!$A$11:$C$25,2,0))</f>
        <v/>
      </c>
      <c r="C34" s="483"/>
      <c r="D34" s="483"/>
      <c r="E34" s="497"/>
      <c r="F34" s="72" t="str">
        <f t="shared" si="0"/>
        <v/>
      </c>
    </row>
    <row r="35" spans="1:6">
      <c r="A35" s="506"/>
      <c r="B35" s="39" t="str">
        <f>IF(ISBLANK(A35),"",VLOOKUP(A35,Management!$A$11:$C$25,2,0))</f>
        <v/>
      </c>
      <c r="C35" s="483"/>
      <c r="D35" s="483"/>
      <c r="E35" s="497"/>
      <c r="F35" s="72" t="str">
        <f t="shared" si="0"/>
        <v/>
      </c>
    </row>
    <row r="36" spans="1:6" ht="13.5" thickBot="1">
      <c r="A36" s="507"/>
      <c r="B36" s="22" t="str">
        <f>IF(ISBLANK(A36),"",VLOOKUP(A36,Management!$A$11:$C$25,2,0))</f>
        <v/>
      </c>
      <c r="C36" s="489"/>
      <c r="D36" s="489"/>
      <c r="E36" s="498"/>
      <c r="F36" s="76" t="str">
        <f t="shared" si="0"/>
        <v/>
      </c>
    </row>
  </sheetData>
  <sheetProtection password="B516" sheet="1" sort="0" autoFilter="0"/>
  <mergeCells count="1">
    <mergeCell ref="D1:F2"/>
  </mergeCells>
  <conditionalFormatting sqref="F5">
    <cfRule type="expression" dxfId="2" priority="1" stopIfTrue="1">
      <formula>G5&lt;&gt;""</formula>
    </cfRule>
  </conditionalFormatting>
  <dataValidations count="1">
    <dataValidation type="list" allowBlank="1" showInputMessage="1" showErrorMessage="1" sqref="A6:A36">
      <formula1>Partners</formula1>
    </dataValidation>
  </dataValidations>
  <printOptions horizontalCentered="1"/>
  <pageMargins left="0.7" right="0.7" top="0.75" bottom="0.75" header="0.3" footer="0.3"/>
  <pageSetup paperSize="9" scale="93" orientation="landscape" r:id="rId1"/>
  <headerFooter>
    <oddHeader>&amp;C&amp;11 2020 - C2  E+ KA226 - HED&amp;RVersion: 2020.09.08. - TKA</oddHeader>
    <oddFooter>&amp;C&amp;"Arial,Félkövér"&amp;A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8000"/>
    <pageSetUpPr fitToPage="1"/>
  </sheetPr>
  <dimension ref="A1:H36"/>
  <sheetViews>
    <sheetView zoomScaleNormal="100" zoomScaleSheetLayoutView="100" workbookViewId="0">
      <selection activeCell="E1" sqref="E1"/>
    </sheetView>
  </sheetViews>
  <sheetFormatPr defaultColWidth="8.85546875" defaultRowHeight="12.75"/>
  <cols>
    <col min="1" max="1" width="31.7109375" style="29" customWidth="1"/>
    <col min="2" max="2" width="19.42578125" style="24" customWidth="1"/>
    <col min="3" max="3" width="15.28515625" style="42" customWidth="1"/>
    <col min="4" max="4" width="22.85546875" style="41" customWidth="1"/>
    <col min="5" max="5" width="21.28515625" style="41" customWidth="1"/>
    <col min="6" max="6" width="11.42578125" style="42" customWidth="1"/>
    <col min="7" max="7" width="11.7109375" style="42" customWidth="1"/>
    <col min="8" max="8" width="21.140625" style="10" bestFit="1" customWidth="1"/>
    <col min="9" max="16384" width="8.85546875" style="10"/>
  </cols>
  <sheetData>
    <row r="1" spans="1:8" s="44" customFormat="1" ht="15.75">
      <c r="A1" s="99" t="s">
        <v>137</v>
      </c>
      <c r="B1" s="100"/>
      <c r="C1" s="133"/>
      <c r="D1" s="128"/>
      <c r="E1" s="128"/>
      <c r="F1" s="133"/>
      <c r="G1" s="134"/>
    </row>
    <row r="2" spans="1:8" s="45" customFormat="1" ht="15.75">
      <c r="A2" s="103" t="s">
        <v>0</v>
      </c>
      <c r="B2" s="104"/>
      <c r="C2" s="135"/>
      <c r="D2" s="129"/>
      <c r="E2" s="129"/>
      <c r="F2" s="135"/>
      <c r="G2" s="135"/>
    </row>
    <row r="3" spans="1:8" s="46" customFormat="1" ht="13.5" customHeight="1" thickBot="1">
      <c r="A3" s="112" t="s">
        <v>1</v>
      </c>
      <c r="B3" s="113"/>
      <c r="C3" s="137"/>
      <c r="D3" s="136"/>
      <c r="E3" s="136"/>
      <c r="F3" s="137"/>
      <c r="G3" s="138"/>
    </row>
    <row r="4" spans="1:8" s="44" customFormat="1" ht="26.25" customHeight="1" thickBot="1">
      <c r="A4" s="118" t="s">
        <v>445</v>
      </c>
      <c r="B4" s="119" t="s">
        <v>32</v>
      </c>
      <c r="C4" s="132" t="s">
        <v>138</v>
      </c>
      <c r="D4" s="131" t="s">
        <v>2</v>
      </c>
      <c r="E4" s="131" t="s">
        <v>139</v>
      </c>
      <c r="F4" s="132" t="s">
        <v>35</v>
      </c>
      <c r="G4" s="132" t="s">
        <v>318</v>
      </c>
    </row>
    <row r="5" spans="1:8" ht="13.5" thickBot="1">
      <c r="A5" s="140"/>
      <c r="B5" s="141" t="s">
        <v>320</v>
      </c>
      <c r="C5" s="17">
        <f>SUM(C6:C36)</f>
        <v>0</v>
      </c>
      <c r="D5" s="123"/>
      <c r="E5" s="124"/>
      <c r="F5" s="175" t="s">
        <v>314</v>
      </c>
      <c r="G5" s="176">
        <f>SUM(G6:G36)</f>
        <v>0</v>
      </c>
      <c r="H5" s="47"/>
    </row>
    <row r="6" spans="1:8">
      <c r="A6" s="505"/>
      <c r="B6" s="38" t="str">
        <f>IF(ISBLANK(A6),"",VLOOKUP(A6,Management!$A$11:$C$25,2,0))</f>
        <v/>
      </c>
      <c r="C6" s="461"/>
      <c r="D6" s="495"/>
      <c r="E6" s="495"/>
      <c r="F6" s="496"/>
      <c r="G6" s="174" t="str">
        <f>IF(ISBLANK(A6),"",IF(OR(ISBLANK(C6),ISBLANK(D6),ISBLANK(E6),ISBLANK(F6)),"Missing data",F6))</f>
        <v/>
      </c>
    </row>
    <row r="7" spans="1:8">
      <c r="A7" s="506"/>
      <c r="B7" s="39" t="str">
        <f>IF(ISBLANK(A7),"",VLOOKUP(A7,Management!$A$11:$C$25,2,0))</f>
        <v/>
      </c>
      <c r="C7" s="464"/>
      <c r="D7" s="483"/>
      <c r="E7" s="483"/>
      <c r="F7" s="497"/>
      <c r="G7" s="72" t="str">
        <f t="shared" ref="G7:G36" si="0">IF(ISBLANK(A7),"",IF(OR(ISBLANK(C7),ISBLANK(D7),ISBLANK(E7),ISBLANK(F7)),"Missing data",F7))</f>
        <v/>
      </c>
    </row>
    <row r="8" spans="1:8">
      <c r="A8" s="506"/>
      <c r="B8" s="39" t="str">
        <f>IF(ISBLANK(A8),"",VLOOKUP(A8,Management!$A$11:$C$25,2,0))</f>
        <v/>
      </c>
      <c r="C8" s="464"/>
      <c r="D8" s="483"/>
      <c r="E8" s="483"/>
      <c r="F8" s="497"/>
      <c r="G8" s="72" t="str">
        <f t="shared" si="0"/>
        <v/>
      </c>
    </row>
    <row r="9" spans="1:8">
      <c r="A9" s="506"/>
      <c r="B9" s="39" t="str">
        <f>IF(ISBLANK(A9),"",VLOOKUP(A9,Management!$A$11:$C$25,2,0))</f>
        <v/>
      </c>
      <c r="C9" s="464"/>
      <c r="D9" s="483"/>
      <c r="E9" s="483"/>
      <c r="F9" s="497"/>
      <c r="G9" s="72" t="str">
        <f t="shared" si="0"/>
        <v/>
      </c>
    </row>
    <row r="10" spans="1:8">
      <c r="A10" s="506"/>
      <c r="B10" s="39" t="str">
        <f>IF(ISBLANK(A10),"",VLOOKUP(A10,Management!$A$11:$C$25,2,0))</f>
        <v/>
      </c>
      <c r="C10" s="464"/>
      <c r="D10" s="483"/>
      <c r="E10" s="483"/>
      <c r="F10" s="497"/>
      <c r="G10" s="72" t="str">
        <f t="shared" si="0"/>
        <v/>
      </c>
    </row>
    <row r="11" spans="1:8">
      <c r="A11" s="506"/>
      <c r="B11" s="39" t="str">
        <f>IF(ISBLANK(A11),"",VLOOKUP(A11,Management!$A$11:$C$25,2,0))</f>
        <v/>
      </c>
      <c r="C11" s="464"/>
      <c r="D11" s="483"/>
      <c r="E11" s="483"/>
      <c r="F11" s="497"/>
      <c r="G11" s="72" t="str">
        <f t="shared" si="0"/>
        <v/>
      </c>
    </row>
    <row r="12" spans="1:8">
      <c r="A12" s="506"/>
      <c r="B12" s="39" t="str">
        <f>IF(ISBLANK(A12),"",VLOOKUP(A12,Management!$A$11:$C$25,2,0))</f>
        <v/>
      </c>
      <c r="C12" s="464"/>
      <c r="D12" s="483"/>
      <c r="E12" s="483"/>
      <c r="F12" s="497"/>
      <c r="G12" s="72" t="str">
        <f t="shared" si="0"/>
        <v/>
      </c>
    </row>
    <row r="13" spans="1:8">
      <c r="A13" s="506"/>
      <c r="B13" s="39" t="str">
        <f>IF(ISBLANK(A13),"",VLOOKUP(A13,Management!$A$11:$C$25,2,0))</f>
        <v/>
      </c>
      <c r="C13" s="464"/>
      <c r="D13" s="483"/>
      <c r="E13" s="483"/>
      <c r="F13" s="497"/>
      <c r="G13" s="72" t="str">
        <f t="shared" si="0"/>
        <v/>
      </c>
    </row>
    <row r="14" spans="1:8">
      <c r="A14" s="506"/>
      <c r="B14" s="39" t="str">
        <f>IF(ISBLANK(A14),"",VLOOKUP(A14,Management!$A$11:$C$25,2,0))</f>
        <v/>
      </c>
      <c r="C14" s="464"/>
      <c r="D14" s="483"/>
      <c r="E14" s="483"/>
      <c r="F14" s="497"/>
      <c r="G14" s="72" t="str">
        <f t="shared" si="0"/>
        <v/>
      </c>
    </row>
    <row r="15" spans="1:8">
      <c r="A15" s="506"/>
      <c r="B15" s="39" t="str">
        <f>IF(ISBLANK(A15),"",VLOOKUP(A15,Management!$A$11:$C$25,2,0))</f>
        <v/>
      </c>
      <c r="C15" s="464"/>
      <c r="D15" s="483"/>
      <c r="E15" s="483"/>
      <c r="F15" s="497"/>
      <c r="G15" s="72" t="str">
        <f t="shared" si="0"/>
        <v/>
      </c>
    </row>
    <row r="16" spans="1:8">
      <c r="A16" s="506"/>
      <c r="B16" s="39" t="str">
        <f>IF(ISBLANK(A16),"",VLOOKUP(A16,Management!$A$11:$C$25,2,0))</f>
        <v/>
      </c>
      <c r="C16" s="464"/>
      <c r="D16" s="483"/>
      <c r="E16" s="483"/>
      <c r="F16" s="497"/>
      <c r="G16" s="72" t="str">
        <f t="shared" si="0"/>
        <v/>
      </c>
    </row>
    <row r="17" spans="1:7">
      <c r="A17" s="506"/>
      <c r="B17" s="39" t="str">
        <f>IF(ISBLANK(A17),"",VLOOKUP(A17,Management!$A$11:$C$25,2,0))</f>
        <v/>
      </c>
      <c r="C17" s="464"/>
      <c r="D17" s="483"/>
      <c r="E17" s="483"/>
      <c r="F17" s="497"/>
      <c r="G17" s="72" t="str">
        <f t="shared" si="0"/>
        <v/>
      </c>
    </row>
    <row r="18" spans="1:7">
      <c r="A18" s="506"/>
      <c r="B18" s="39" t="str">
        <f>IF(ISBLANK(A18),"",VLOOKUP(A18,Management!$A$11:$C$25,2,0))</f>
        <v/>
      </c>
      <c r="C18" s="464"/>
      <c r="D18" s="483"/>
      <c r="E18" s="483"/>
      <c r="F18" s="497"/>
      <c r="G18" s="72" t="str">
        <f t="shared" si="0"/>
        <v/>
      </c>
    </row>
    <row r="19" spans="1:7">
      <c r="A19" s="506"/>
      <c r="B19" s="39" t="str">
        <f>IF(ISBLANK(A19),"",VLOOKUP(A19,Management!$A$11:$C$25,2,0))</f>
        <v/>
      </c>
      <c r="C19" s="464"/>
      <c r="D19" s="483"/>
      <c r="E19" s="483"/>
      <c r="F19" s="497"/>
      <c r="G19" s="72" t="str">
        <f t="shared" si="0"/>
        <v/>
      </c>
    </row>
    <row r="20" spans="1:7">
      <c r="A20" s="506"/>
      <c r="B20" s="39" t="str">
        <f>IF(ISBLANK(A20),"",VLOOKUP(A20,Management!$A$11:$C$25,2,0))</f>
        <v/>
      </c>
      <c r="C20" s="464"/>
      <c r="D20" s="483"/>
      <c r="E20" s="483"/>
      <c r="F20" s="497"/>
      <c r="G20" s="72" t="str">
        <f t="shared" si="0"/>
        <v/>
      </c>
    </row>
    <row r="21" spans="1:7">
      <c r="A21" s="506"/>
      <c r="B21" s="39" t="str">
        <f>IF(ISBLANK(A21),"",VLOOKUP(A21,Management!$A$11:$C$25,2,0))</f>
        <v/>
      </c>
      <c r="C21" s="464"/>
      <c r="D21" s="483"/>
      <c r="E21" s="483"/>
      <c r="F21" s="497"/>
      <c r="G21" s="72" t="str">
        <f t="shared" si="0"/>
        <v/>
      </c>
    </row>
    <row r="22" spans="1:7">
      <c r="A22" s="506"/>
      <c r="B22" s="39" t="str">
        <f>IF(ISBLANK(A22),"",VLOOKUP(A22,Management!$A$11:$C$25,2,0))</f>
        <v/>
      </c>
      <c r="C22" s="464"/>
      <c r="D22" s="483"/>
      <c r="E22" s="483"/>
      <c r="F22" s="497"/>
      <c r="G22" s="72" t="str">
        <f t="shared" si="0"/>
        <v/>
      </c>
    </row>
    <row r="23" spans="1:7">
      <c r="A23" s="506"/>
      <c r="B23" s="39" t="str">
        <f>IF(ISBLANK(A23),"",VLOOKUP(A23,Management!$A$11:$C$25,2,0))</f>
        <v/>
      </c>
      <c r="C23" s="464"/>
      <c r="D23" s="483"/>
      <c r="E23" s="483"/>
      <c r="F23" s="497"/>
      <c r="G23" s="72" t="str">
        <f t="shared" si="0"/>
        <v/>
      </c>
    </row>
    <row r="24" spans="1:7">
      <c r="A24" s="506"/>
      <c r="B24" s="39" t="str">
        <f>IF(ISBLANK(A24),"",VLOOKUP(A24,Management!$A$11:$C$25,2,0))</f>
        <v/>
      </c>
      <c r="C24" s="464"/>
      <c r="D24" s="483"/>
      <c r="E24" s="483"/>
      <c r="F24" s="497"/>
      <c r="G24" s="72" t="str">
        <f t="shared" si="0"/>
        <v/>
      </c>
    </row>
    <row r="25" spans="1:7">
      <c r="A25" s="506"/>
      <c r="B25" s="39" t="str">
        <f>IF(ISBLANK(A25),"",VLOOKUP(A25,Management!$A$11:$C$25,2,0))</f>
        <v/>
      </c>
      <c r="C25" s="464"/>
      <c r="D25" s="483"/>
      <c r="E25" s="483"/>
      <c r="F25" s="497"/>
      <c r="G25" s="72" t="str">
        <f t="shared" si="0"/>
        <v/>
      </c>
    </row>
    <row r="26" spans="1:7">
      <c r="A26" s="506"/>
      <c r="B26" s="39" t="str">
        <f>IF(ISBLANK(A26),"",VLOOKUP(A26,Management!$A$11:$C$25,2,0))</f>
        <v/>
      </c>
      <c r="C26" s="464"/>
      <c r="D26" s="483"/>
      <c r="E26" s="483"/>
      <c r="F26" s="497"/>
      <c r="G26" s="72" t="str">
        <f t="shared" si="0"/>
        <v/>
      </c>
    </row>
    <row r="27" spans="1:7">
      <c r="A27" s="506"/>
      <c r="B27" s="39" t="str">
        <f>IF(ISBLANK(A27),"",VLOOKUP(A27,Management!$A$11:$C$25,2,0))</f>
        <v/>
      </c>
      <c r="C27" s="464"/>
      <c r="D27" s="483"/>
      <c r="E27" s="483"/>
      <c r="F27" s="497"/>
      <c r="G27" s="72" t="str">
        <f t="shared" si="0"/>
        <v/>
      </c>
    </row>
    <row r="28" spans="1:7">
      <c r="A28" s="506"/>
      <c r="B28" s="39" t="str">
        <f>IF(ISBLANK(A28),"",VLOOKUP(A28,Management!$A$11:$C$25,2,0))</f>
        <v/>
      </c>
      <c r="C28" s="464"/>
      <c r="D28" s="483"/>
      <c r="E28" s="483"/>
      <c r="F28" s="497"/>
      <c r="G28" s="72" t="str">
        <f t="shared" si="0"/>
        <v/>
      </c>
    </row>
    <row r="29" spans="1:7">
      <c r="A29" s="506"/>
      <c r="B29" s="39" t="str">
        <f>IF(ISBLANK(A29),"",VLOOKUP(A29,Management!$A$11:$C$25,2,0))</f>
        <v/>
      </c>
      <c r="C29" s="464"/>
      <c r="D29" s="483"/>
      <c r="E29" s="483"/>
      <c r="F29" s="497"/>
      <c r="G29" s="72" t="str">
        <f t="shared" si="0"/>
        <v/>
      </c>
    </row>
    <row r="30" spans="1:7">
      <c r="A30" s="506"/>
      <c r="B30" s="39" t="str">
        <f>IF(ISBLANK(A30),"",VLOOKUP(A30,Management!$A$11:$C$25,2,0))</f>
        <v/>
      </c>
      <c r="C30" s="464"/>
      <c r="D30" s="483"/>
      <c r="E30" s="483"/>
      <c r="F30" s="497"/>
      <c r="G30" s="72" t="str">
        <f t="shared" si="0"/>
        <v/>
      </c>
    </row>
    <row r="31" spans="1:7">
      <c r="A31" s="506"/>
      <c r="B31" s="39" t="str">
        <f>IF(ISBLANK(A31),"",VLOOKUP(A31,Management!$A$11:$C$25,2,0))</f>
        <v/>
      </c>
      <c r="C31" s="464"/>
      <c r="D31" s="483"/>
      <c r="E31" s="483"/>
      <c r="F31" s="497"/>
      <c r="G31" s="72" t="str">
        <f t="shared" si="0"/>
        <v/>
      </c>
    </row>
    <row r="32" spans="1:7">
      <c r="A32" s="506"/>
      <c r="B32" s="39" t="str">
        <f>IF(ISBLANK(A32),"",VLOOKUP(A32,Management!$A$11:$C$25,2,0))</f>
        <v/>
      </c>
      <c r="C32" s="464"/>
      <c r="D32" s="483"/>
      <c r="E32" s="483"/>
      <c r="F32" s="497"/>
      <c r="G32" s="72" t="str">
        <f t="shared" si="0"/>
        <v/>
      </c>
    </row>
    <row r="33" spans="1:7">
      <c r="A33" s="506"/>
      <c r="B33" s="39" t="str">
        <f>IF(ISBLANK(A33),"",VLOOKUP(A33,Management!$A$11:$C$25,2,0))</f>
        <v/>
      </c>
      <c r="C33" s="464"/>
      <c r="D33" s="483"/>
      <c r="E33" s="483"/>
      <c r="F33" s="497"/>
      <c r="G33" s="72" t="str">
        <f t="shared" si="0"/>
        <v/>
      </c>
    </row>
    <row r="34" spans="1:7">
      <c r="A34" s="506"/>
      <c r="B34" s="39" t="str">
        <f>IF(ISBLANK(A34),"",VLOOKUP(A34,Management!$A$11:$C$25,2,0))</f>
        <v/>
      </c>
      <c r="C34" s="464"/>
      <c r="D34" s="483"/>
      <c r="E34" s="483"/>
      <c r="F34" s="497"/>
      <c r="G34" s="72" t="str">
        <f t="shared" si="0"/>
        <v/>
      </c>
    </row>
    <row r="35" spans="1:7">
      <c r="A35" s="506"/>
      <c r="B35" s="39" t="str">
        <f>IF(ISBLANK(A35),"",VLOOKUP(A35,Management!$A$11:$C$25,2,0))</f>
        <v/>
      </c>
      <c r="C35" s="464"/>
      <c r="D35" s="483"/>
      <c r="E35" s="483"/>
      <c r="F35" s="497"/>
      <c r="G35" s="72" t="str">
        <f t="shared" si="0"/>
        <v/>
      </c>
    </row>
    <row r="36" spans="1:7" ht="13.5" thickBot="1">
      <c r="A36" s="507"/>
      <c r="B36" s="22" t="str">
        <f>IF(ISBLANK(A36),"",VLOOKUP(A36,Management!$A$11:$C$25,2,0))</f>
        <v/>
      </c>
      <c r="C36" s="468"/>
      <c r="D36" s="489"/>
      <c r="E36" s="489"/>
      <c r="F36" s="498"/>
      <c r="G36" s="76" t="str">
        <f t="shared" si="0"/>
        <v/>
      </c>
    </row>
  </sheetData>
  <sheetProtection password="B516" sheet="1" sort="0" autoFilter="0"/>
  <phoneticPr fontId="7" type="noConversion"/>
  <dataValidations disablePrompts="1" count="1">
    <dataValidation type="list" allowBlank="1" showInputMessage="1" showErrorMessage="1" sqref="A6:A36">
      <formula1>Partners</formula1>
    </dataValidation>
  </dataValidations>
  <printOptions horizontalCentered="1"/>
  <pageMargins left="0.78740157480314965" right="0.78740157480314965" top="0.8125" bottom="0.62992125984251968" header="0.51181102362204722" footer="0.51181102362204722"/>
  <pageSetup paperSize="9" scale="98" orientation="landscape" r:id="rId1"/>
  <headerFooter>
    <oddHeader>&amp;C&amp;11 2020 - C2  E+ KA226 - HED&amp;RVersion: 2020.09.08. - TKA</oddHeader>
    <oddFooter>&amp;C&amp;"Arial,Félkövér"&amp;A</oddFooter>
  </headerFooter>
  <rowBreaks count="1" manualBreakCount="1">
    <brk id="31"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52"/>
    <pageSetUpPr fitToPage="1"/>
  </sheetPr>
  <dimension ref="A1:K22"/>
  <sheetViews>
    <sheetView zoomScale="120" zoomScaleNormal="120" zoomScaleSheetLayoutView="100" zoomScalePageLayoutView="90" workbookViewId="0">
      <selection activeCell="F2" sqref="F2"/>
    </sheetView>
  </sheetViews>
  <sheetFormatPr defaultColWidth="8.85546875" defaultRowHeight="12.75"/>
  <cols>
    <col min="1" max="1" width="24.7109375" style="78" customWidth="1"/>
    <col min="2" max="2" width="14.85546875" style="31" customWidth="1"/>
    <col min="3" max="3" width="15.28515625" style="31" customWidth="1"/>
    <col min="4" max="6" width="14.42578125" style="31" customWidth="1"/>
    <col min="7" max="7" width="13.85546875" style="31" customWidth="1"/>
    <col min="8" max="8" width="14.7109375" style="31" customWidth="1"/>
    <col min="9" max="9" width="14.28515625" style="31" customWidth="1"/>
    <col min="10" max="10" width="15" style="31" customWidth="1"/>
    <col min="11" max="11" width="32.28515625" style="5" customWidth="1"/>
    <col min="12" max="16384" width="8.85546875" style="31"/>
  </cols>
  <sheetData>
    <row r="1" spans="1:11" s="60" customFormat="1" ht="15.75" customHeight="1">
      <c r="A1" s="629" t="s">
        <v>48</v>
      </c>
      <c r="B1" s="629"/>
      <c r="C1" s="630" t="str">
        <f>IF(ISBLANK(Overview!C3),"",Overview!C3)</f>
        <v/>
      </c>
      <c r="D1" s="630"/>
      <c r="E1" s="630"/>
      <c r="F1" s="630"/>
      <c r="G1" s="630"/>
      <c r="H1" s="630"/>
      <c r="I1" s="630"/>
      <c r="J1" s="630"/>
      <c r="K1" s="5"/>
    </row>
    <row r="2" spans="1:11" s="60" customFormat="1" ht="15.75">
      <c r="A2" s="103" t="s">
        <v>0</v>
      </c>
      <c r="B2" s="102"/>
      <c r="C2" s="102"/>
      <c r="D2" s="102"/>
      <c r="E2" s="102"/>
      <c r="F2" s="102"/>
      <c r="G2" s="102"/>
      <c r="H2" s="102"/>
      <c r="I2" s="102"/>
      <c r="J2" s="162"/>
      <c r="K2" s="5"/>
    </row>
    <row r="3" spans="1:11" s="3" customFormat="1" ht="12.75" customHeight="1" thickBot="1">
      <c r="A3" s="102"/>
      <c r="B3" s="102"/>
      <c r="C3" s="102"/>
      <c r="D3" s="102"/>
      <c r="E3" s="102"/>
      <c r="F3" s="102"/>
      <c r="G3" s="102"/>
      <c r="H3" s="102"/>
      <c r="I3" s="102"/>
      <c r="J3" s="102"/>
    </row>
    <row r="4" spans="1:11" s="34" customFormat="1" ht="13.5" thickBot="1">
      <c r="A4" s="631" t="s">
        <v>130</v>
      </c>
      <c r="B4" s="632"/>
      <c r="C4" s="632"/>
      <c r="D4" s="632"/>
      <c r="E4" s="632"/>
      <c r="F4" s="632"/>
      <c r="G4" s="632"/>
      <c r="H4" s="633"/>
      <c r="I4" s="632"/>
      <c r="J4" s="634"/>
      <c r="K4" s="61"/>
    </row>
    <row r="5" spans="1:11" s="32" customFormat="1" ht="39" thickBot="1">
      <c r="A5" s="158" t="s">
        <v>445</v>
      </c>
      <c r="B5" s="107" t="s">
        <v>109</v>
      </c>
      <c r="C5" s="159" t="s">
        <v>127</v>
      </c>
      <c r="D5" s="159" t="s">
        <v>129</v>
      </c>
      <c r="E5" s="159" t="s">
        <v>146</v>
      </c>
      <c r="F5" s="160" t="s">
        <v>110</v>
      </c>
      <c r="G5" s="159" t="s">
        <v>128</v>
      </c>
      <c r="H5" s="159" t="s">
        <v>459</v>
      </c>
      <c r="I5" s="159" t="s">
        <v>111</v>
      </c>
      <c r="J5" s="159" t="s">
        <v>131</v>
      </c>
      <c r="K5" s="357" t="str">
        <f>IF(F22&gt;100,"ERROR: The total number of participants in transnational training, teaching and learning activities is over the limit (100)!","")</f>
        <v/>
      </c>
    </row>
    <row r="6" spans="1:11" s="64" customFormat="1" ht="13.5" thickBot="1">
      <c r="A6" s="161" t="s">
        <v>324</v>
      </c>
      <c r="B6" s="199">
        <f>IF(Management!F5="",Management!E5,"ERROR")</f>
        <v>0</v>
      </c>
      <c r="C6" s="199">
        <f>IF('Partner meetings'!K6="",'Partner meetings'!J6,"ERROR")</f>
        <v>0</v>
      </c>
      <c r="D6" s="199">
        <f>'Intellectual outputs'!E7</f>
        <v>0</v>
      </c>
      <c r="E6" s="199">
        <f>IF('Multiplier events'!I5="",'Multiplier events'!H5,"ERROR")</f>
        <v>0</v>
      </c>
      <c r="F6" s="199">
        <f>'VET Transnat. training-teaching'!$S$6+'SCH Transnat. training-teaching'!$S$6+'YOU Transnat. training-teach'!$S$6+'ADU Transnat. training-teaching'!$S$6+'HED Transnat. training-teaching'!$S$6</f>
        <v>0</v>
      </c>
      <c r="G6" s="199">
        <f>IF('Exceptional costs'!G5="",'Exceptional costs'!F5,"ERROR")</f>
        <v>0</v>
      </c>
      <c r="H6" s="199">
        <f>'Except. costs - ExpensiveTravel'!F5</f>
        <v>0</v>
      </c>
      <c r="I6" s="199">
        <f>'Special needs'!G5</f>
        <v>0</v>
      </c>
      <c r="J6" s="200">
        <f>IF(SUM(B6:I6)&lt;&gt;SUM(J7:J21),"ERROR",SUM(J7:J21))</f>
        <v>0</v>
      </c>
      <c r="K6" s="63" t="str">
        <f>IF(SUM(J7:J21)&gt;Overview!C13,"ERROR: Grant calculated is over the limit!","")</f>
        <v/>
      </c>
    </row>
    <row r="7" spans="1:11" s="64" customFormat="1">
      <c r="A7" s="65" t="str">
        <f>IF(ISBLANK(Management!A11),"",Management!A11)</f>
        <v/>
      </c>
      <c r="B7" s="66" t="str">
        <f>Management!E11</f>
        <v/>
      </c>
      <c r="C7" s="66">
        <f>SUMIF('Partner meetings'!$A$7:$A$108,A7,'Partner meetings'!$J$7:$J$108)</f>
        <v>0</v>
      </c>
      <c r="D7" s="66">
        <f>SUMIF('Intellectual outputs'!$A$8:$A$109,A7,'Intellectual outputs'!$E$8:$E$109)</f>
        <v>0</v>
      </c>
      <c r="E7" s="67">
        <f>SUMIF('Multiplier events'!$A$6:$A$36,A7,'Multiplier events'!$H$6:$H$36)</f>
        <v>0</v>
      </c>
      <c r="F7" s="67">
        <f>SUMIF('VET Transnat. training-teaching'!$A$7:$A$106,$A7,'VET Transnat. training-teaching'!$S$7:$S$106)+SUMIF('SCH Transnat. training-teaching'!$A$7:$A$106,$A7,'SCH Transnat. training-teaching'!$S$7:$S$106) +SUMIF('YOU Transnat. training-teach'!$A$7:$A$106,$A7,'YOU Transnat. training-teach'!$S$7:$S$106) +SUMIF('ADU Transnat. training-teaching'!$A$7:$A$106,$A7,'ADU Transnat. training-teaching'!$S$7:$S$106) +SUMIF('HED Transnat. training-teaching'!$A$7:$A$106,$A7,'HED Transnat. training-teaching'!$S$7:$S$106)</f>
        <v>0</v>
      </c>
      <c r="G7" s="67">
        <f>SUMIF('Exceptional costs'!$A$6:$A$36,A7,'Exceptional costs'!$F$6:$F$36)</f>
        <v>0</v>
      </c>
      <c r="H7" s="67">
        <f>SUMIF('Except. costs - ExpensiveTravel'!$A$6:$A$36,A7,'Except. costs - ExpensiveTravel'!$F$6:$F$36)</f>
        <v>0</v>
      </c>
      <c r="I7" s="67">
        <f>SUMIF('Special needs'!$A$6:$A$36,A7,'Special needs'!$G$6:$G$36)</f>
        <v>0</v>
      </c>
      <c r="J7" s="68">
        <f t="shared" ref="J7:J21" si="0">SUM(B7:I7)</f>
        <v>0</v>
      </c>
      <c r="K7" s="69"/>
    </row>
    <row r="8" spans="1:11" s="64" customFormat="1">
      <c r="A8" s="70" t="str">
        <f>IF(ISBLANK(Management!A12),"",Management!A12)</f>
        <v/>
      </c>
      <c r="B8" s="71" t="str">
        <f>Management!E12</f>
        <v/>
      </c>
      <c r="C8" s="66">
        <f>SUMIF('Partner meetings'!$A$7:$A$108,A8,'Partner meetings'!$J$7:$J$108)</f>
        <v>0</v>
      </c>
      <c r="D8" s="71">
        <f>SUMIF('Intellectual outputs'!$A$8:$A$109,A8,'Intellectual outputs'!$E$8:$E$109)</f>
        <v>0</v>
      </c>
      <c r="E8" s="72">
        <f>SUMIF('Multiplier events'!$A$6:$A$36,A8,'Multiplier events'!$H$6:$H$36)</f>
        <v>0</v>
      </c>
      <c r="F8" s="72">
        <f>SUMIF('VET Transnat. training-teaching'!$A$7:$A$106,$A8,'VET Transnat. training-teaching'!$S$7:$S$106)+SUMIF('SCH Transnat. training-teaching'!$A$7:$A$106,$A8,'SCH Transnat. training-teaching'!$S$7:$S$106) +SUMIF('YOU Transnat. training-teach'!$A$7:$A$106,$A8,'YOU Transnat. training-teach'!$S$7:$S$106) +SUMIF('ADU Transnat. training-teaching'!$A$7:$A$106,$A8,'ADU Transnat. training-teaching'!$S$7:$S$106) +SUMIF('HED Transnat. training-teaching'!$A$7:$A$106,$A8,'HED Transnat. training-teaching'!$S$7:$S$106)</f>
        <v>0</v>
      </c>
      <c r="G8" s="72">
        <f>SUMIF('Exceptional costs'!$A$6:$A$36,A8,'Exceptional costs'!$F$6:$F$36)</f>
        <v>0</v>
      </c>
      <c r="H8" s="72">
        <f>SUMIF('Except. costs - ExpensiveTravel'!$A$6:$A$36,A8,'Except. costs - ExpensiveTravel'!$F$6:$F$36)</f>
        <v>0</v>
      </c>
      <c r="I8" s="72">
        <f>SUMIF('Special needs'!$A$6:$A$36,A8,'Special needs'!$G$6:$G$36)</f>
        <v>0</v>
      </c>
      <c r="J8" s="73">
        <f t="shared" si="0"/>
        <v>0</v>
      </c>
      <c r="K8" s="69"/>
    </row>
    <row r="9" spans="1:11" s="64" customFormat="1">
      <c r="A9" s="70" t="str">
        <f>IF(ISBLANK(Management!A13),"",Management!A13)</f>
        <v/>
      </c>
      <c r="B9" s="71" t="str">
        <f>Management!E13</f>
        <v/>
      </c>
      <c r="C9" s="66">
        <f>SUMIF('Partner meetings'!$A$7:$A$108,A9,'Partner meetings'!$J$7:$J$108)</f>
        <v>0</v>
      </c>
      <c r="D9" s="71">
        <f>SUMIF('Intellectual outputs'!$A$8:$A$109,A9,'Intellectual outputs'!$E$8:$E$109)</f>
        <v>0</v>
      </c>
      <c r="E9" s="72">
        <f>SUMIF('Multiplier events'!$A$6:$A$36,A9,'Multiplier events'!$H$6:$H$36)</f>
        <v>0</v>
      </c>
      <c r="F9" s="72">
        <f>SUMIF('VET Transnat. training-teaching'!$A$7:$A$106,$A9,'VET Transnat. training-teaching'!$S$7:$S$106)+SUMIF('SCH Transnat. training-teaching'!$A$7:$A$106,$A9,'SCH Transnat. training-teaching'!$S$7:$S$106) +SUMIF('YOU Transnat. training-teach'!$A$7:$A$106,$A9,'YOU Transnat. training-teach'!$S$7:$S$106) +SUMIF('ADU Transnat. training-teaching'!$A$7:$A$106,$A9,'ADU Transnat. training-teaching'!$S$7:$S$106) +SUMIF('HED Transnat. training-teaching'!$A$7:$A$106,$A9,'HED Transnat. training-teaching'!$S$7:$S$106)</f>
        <v>0</v>
      </c>
      <c r="G9" s="72">
        <f>SUMIF('Exceptional costs'!$A$6:$A$36,A9,'Exceptional costs'!$F$6:$F$36)</f>
        <v>0</v>
      </c>
      <c r="H9" s="72">
        <f>SUMIF('Except. costs - ExpensiveTravel'!$A$6:$A$36,A9,'Except. costs - ExpensiveTravel'!$F$6:$F$36)</f>
        <v>0</v>
      </c>
      <c r="I9" s="72">
        <f>SUMIF('Special needs'!$A$6:$A$36,A9,'Special needs'!$G$6:$G$36)</f>
        <v>0</v>
      </c>
      <c r="J9" s="73">
        <f t="shared" si="0"/>
        <v>0</v>
      </c>
      <c r="K9" s="69"/>
    </row>
    <row r="10" spans="1:11" s="64" customFormat="1">
      <c r="A10" s="70" t="str">
        <f>IF(ISBLANK(Management!A14),"",Management!A14)</f>
        <v/>
      </c>
      <c r="B10" s="71" t="str">
        <f>Management!E14</f>
        <v/>
      </c>
      <c r="C10" s="66">
        <f>SUMIF('Partner meetings'!$A$7:$A$108,A10,'Partner meetings'!$J$7:$J$108)</f>
        <v>0</v>
      </c>
      <c r="D10" s="71">
        <f>SUMIF('Intellectual outputs'!$A$8:$A$109,A10,'Intellectual outputs'!$E$8:$E$109)</f>
        <v>0</v>
      </c>
      <c r="E10" s="72">
        <f>SUMIF('Multiplier events'!$A$6:$A$36,A10,'Multiplier events'!$H$6:$H$36)</f>
        <v>0</v>
      </c>
      <c r="F10" s="72">
        <f>SUMIF('VET Transnat. training-teaching'!$A$7:$A$106,$A10,'VET Transnat. training-teaching'!$S$7:$S$106)+SUMIF('SCH Transnat. training-teaching'!$A$7:$A$106,$A10,'SCH Transnat. training-teaching'!$S$7:$S$106) +SUMIF('YOU Transnat. training-teach'!$A$7:$A$106,$A10,'YOU Transnat. training-teach'!$S$7:$S$106) +SUMIF('ADU Transnat. training-teaching'!$A$7:$A$106,$A10,'ADU Transnat. training-teaching'!$S$7:$S$106) +SUMIF('HED Transnat. training-teaching'!$A$7:$A$106,$A10,'HED Transnat. training-teaching'!$S$7:$S$106)</f>
        <v>0</v>
      </c>
      <c r="G10" s="72">
        <f>SUMIF('Exceptional costs'!$A$6:$A$36,A10,'Exceptional costs'!$F$6:$F$36)</f>
        <v>0</v>
      </c>
      <c r="H10" s="72">
        <f>SUMIF('Except. costs - ExpensiveTravel'!$A$6:$A$36,A10,'Except. costs - ExpensiveTravel'!$F$6:$F$36)</f>
        <v>0</v>
      </c>
      <c r="I10" s="72">
        <f>SUMIF('Special needs'!$A$6:$A$36,A10,'Special needs'!$G$6:$G$36)</f>
        <v>0</v>
      </c>
      <c r="J10" s="73">
        <f t="shared" si="0"/>
        <v>0</v>
      </c>
      <c r="K10" s="69"/>
    </row>
    <row r="11" spans="1:11" s="64" customFormat="1">
      <c r="A11" s="70" t="str">
        <f>IF(ISBLANK(Management!A15),"",Management!A15)</f>
        <v/>
      </c>
      <c r="B11" s="71" t="str">
        <f>Management!E15</f>
        <v/>
      </c>
      <c r="C11" s="66">
        <f>SUMIF('Partner meetings'!$A$7:$A$108,A11,'Partner meetings'!$J$7:$J$108)</f>
        <v>0</v>
      </c>
      <c r="D11" s="71">
        <f>SUMIF('Intellectual outputs'!$A$8:$A$109,A11,'Intellectual outputs'!$E$8:$E$109)</f>
        <v>0</v>
      </c>
      <c r="E11" s="72">
        <f>SUMIF('Multiplier events'!$A$6:$A$36,A11,'Multiplier events'!$H$6:$H$36)</f>
        <v>0</v>
      </c>
      <c r="F11" s="72">
        <f>SUMIF('VET Transnat. training-teaching'!$A$7:$A$106,$A11,'VET Transnat. training-teaching'!$S$7:$S$106)+SUMIF('SCH Transnat. training-teaching'!$A$7:$A$106,$A11,'SCH Transnat. training-teaching'!$S$7:$S$106) +SUMIF('YOU Transnat. training-teach'!$A$7:$A$106,$A11,'YOU Transnat. training-teach'!$S$7:$S$106) +SUMIF('ADU Transnat. training-teaching'!$A$7:$A$106,$A11,'ADU Transnat. training-teaching'!$S$7:$S$106) +SUMIF('HED Transnat. training-teaching'!$A$7:$A$106,$A11,'HED Transnat. training-teaching'!$S$7:$S$106)</f>
        <v>0</v>
      </c>
      <c r="G11" s="72">
        <f>SUMIF('Exceptional costs'!$A$6:$A$36,A11,'Exceptional costs'!$F$6:$F$36)</f>
        <v>0</v>
      </c>
      <c r="H11" s="72">
        <f>SUMIF('Except. costs - ExpensiveTravel'!$A$6:$A$36,A11,'Except. costs - ExpensiveTravel'!$F$6:$F$36)</f>
        <v>0</v>
      </c>
      <c r="I11" s="72">
        <f>SUMIF('Special needs'!$A$6:$A$36,A11,'Special needs'!$G$6:$G$36)</f>
        <v>0</v>
      </c>
      <c r="J11" s="73">
        <f t="shared" si="0"/>
        <v>0</v>
      </c>
      <c r="K11" s="69"/>
    </row>
    <row r="12" spans="1:11" s="64" customFormat="1">
      <c r="A12" s="70" t="str">
        <f>IF(ISBLANK(Management!A16),"",Management!A16)</f>
        <v/>
      </c>
      <c r="B12" s="71" t="str">
        <f>Management!E16</f>
        <v/>
      </c>
      <c r="C12" s="66">
        <f>SUMIF('Partner meetings'!$A$7:$A$108,A12,'Partner meetings'!$J$7:$J$108)</f>
        <v>0</v>
      </c>
      <c r="D12" s="71">
        <f>SUMIF('Intellectual outputs'!$A$8:$A$109,A12,'Intellectual outputs'!$E$8:$E$109)</f>
        <v>0</v>
      </c>
      <c r="E12" s="72">
        <f>SUMIF('Multiplier events'!$A$6:$A$36,A12,'Multiplier events'!$H$6:$H$36)</f>
        <v>0</v>
      </c>
      <c r="F12" s="72">
        <f>SUMIF('VET Transnat. training-teaching'!$A$7:$A$106,$A12,'VET Transnat. training-teaching'!$S$7:$S$106)+SUMIF('SCH Transnat. training-teaching'!$A$7:$A$106,$A12,'SCH Transnat. training-teaching'!$S$7:$S$106) +SUMIF('YOU Transnat. training-teach'!$A$7:$A$106,$A12,'YOU Transnat. training-teach'!$S$7:$S$106) +SUMIF('ADU Transnat. training-teaching'!$A$7:$A$106,$A12,'ADU Transnat. training-teaching'!$S$7:$S$106) +SUMIF('HED Transnat. training-teaching'!$A$7:$A$106,$A12,'HED Transnat. training-teaching'!$S$7:$S$106)</f>
        <v>0</v>
      </c>
      <c r="G12" s="72">
        <f>SUMIF('Exceptional costs'!$A$6:$A$36,A12,'Exceptional costs'!$F$6:$F$36)</f>
        <v>0</v>
      </c>
      <c r="H12" s="72">
        <f>SUMIF('Except. costs - ExpensiveTravel'!$A$6:$A$36,A12,'Except. costs - ExpensiveTravel'!$F$6:$F$36)</f>
        <v>0</v>
      </c>
      <c r="I12" s="72">
        <f>SUMIF('Special needs'!$A$6:$A$36,A12,'Special needs'!$G$6:$G$36)</f>
        <v>0</v>
      </c>
      <c r="J12" s="73">
        <f t="shared" si="0"/>
        <v>0</v>
      </c>
      <c r="K12" s="69"/>
    </row>
    <row r="13" spans="1:11" s="64" customFormat="1">
      <c r="A13" s="70" t="str">
        <f>IF(ISBLANK(Management!A17),"",Management!A17)</f>
        <v/>
      </c>
      <c r="B13" s="71" t="str">
        <f>Management!E17</f>
        <v/>
      </c>
      <c r="C13" s="66">
        <f>SUMIF('Partner meetings'!$A$7:$A$108,A13,'Partner meetings'!$J$7:$J$108)</f>
        <v>0</v>
      </c>
      <c r="D13" s="71">
        <f>SUMIF('Intellectual outputs'!$A$8:$A$109,A13,'Intellectual outputs'!$E$8:$E$109)</f>
        <v>0</v>
      </c>
      <c r="E13" s="72">
        <f>SUMIF('Multiplier events'!$A$6:$A$36,A13,'Multiplier events'!$H$6:$H$36)</f>
        <v>0</v>
      </c>
      <c r="F13" s="72">
        <f>SUMIF('VET Transnat. training-teaching'!$A$7:$A$106,$A13,'VET Transnat. training-teaching'!$S$7:$S$106)+SUMIF('SCH Transnat. training-teaching'!$A$7:$A$106,$A13,'SCH Transnat. training-teaching'!$S$7:$S$106) +SUMIF('YOU Transnat. training-teach'!$A$7:$A$106,$A13,'YOU Transnat. training-teach'!$S$7:$S$106) +SUMIF('ADU Transnat. training-teaching'!$A$7:$A$106,$A13,'ADU Transnat. training-teaching'!$S$7:$S$106) +SUMIF('HED Transnat. training-teaching'!$A$7:$A$106,$A13,'HED Transnat. training-teaching'!$S$7:$S$106)</f>
        <v>0</v>
      </c>
      <c r="G13" s="72">
        <f>SUMIF('Exceptional costs'!$A$6:$A$36,A13,'Exceptional costs'!$F$6:$F$36)</f>
        <v>0</v>
      </c>
      <c r="H13" s="72">
        <f>SUMIF('Except. costs - ExpensiveTravel'!$A$6:$A$36,A13,'Except. costs - ExpensiveTravel'!$F$6:$F$36)</f>
        <v>0</v>
      </c>
      <c r="I13" s="72">
        <f>SUMIF('Special needs'!$A$6:$A$36,A13,'Special needs'!$G$6:$G$36)</f>
        <v>0</v>
      </c>
      <c r="J13" s="73">
        <f t="shared" si="0"/>
        <v>0</v>
      </c>
      <c r="K13" s="69"/>
    </row>
    <row r="14" spans="1:11" s="64" customFormat="1">
      <c r="A14" s="70" t="str">
        <f>IF(ISBLANK(Management!A18),"",Management!A18)</f>
        <v/>
      </c>
      <c r="B14" s="71" t="str">
        <f>Management!E18</f>
        <v/>
      </c>
      <c r="C14" s="66">
        <f>SUMIF('Partner meetings'!$A$7:$A$108,A14,'Partner meetings'!$J$7:$J$108)</f>
        <v>0</v>
      </c>
      <c r="D14" s="71">
        <f>SUMIF('Intellectual outputs'!$A$8:$A$109,A14,'Intellectual outputs'!$E$8:$E$109)</f>
        <v>0</v>
      </c>
      <c r="E14" s="72">
        <f>SUMIF('Multiplier events'!$A$6:$A$36,A14,'Multiplier events'!$H$6:$H$36)</f>
        <v>0</v>
      </c>
      <c r="F14" s="72">
        <f>SUMIF('VET Transnat. training-teaching'!$A$7:$A$106,$A14,'VET Transnat. training-teaching'!$S$7:$S$106)+SUMIF('SCH Transnat. training-teaching'!$A$7:$A$106,$A14,'SCH Transnat. training-teaching'!$S$7:$S$106) +SUMIF('YOU Transnat. training-teach'!$A$7:$A$106,$A14,'YOU Transnat. training-teach'!$S$7:$S$106) +SUMIF('ADU Transnat. training-teaching'!$A$7:$A$106,$A14,'ADU Transnat. training-teaching'!$S$7:$S$106) +SUMIF('HED Transnat. training-teaching'!$A$7:$A$106,$A14,'HED Transnat. training-teaching'!$S$7:$S$106)</f>
        <v>0</v>
      </c>
      <c r="G14" s="72">
        <f>SUMIF('Exceptional costs'!$A$6:$A$36,A14,'Exceptional costs'!$F$6:$F$36)</f>
        <v>0</v>
      </c>
      <c r="H14" s="72">
        <f>SUMIF('Except. costs - ExpensiveTravel'!$A$6:$A$36,A14,'Except. costs - ExpensiveTravel'!$F$6:$F$36)</f>
        <v>0</v>
      </c>
      <c r="I14" s="72">
        <f>SUMIF('Special needs'!$A$6:$A$36,A14,'Special needs'!$G$6:$G$36)</f>
        <v>0</v>
      </c>
      <c r="J14" s="73">
        <f t="shared" si="0"/>
        <v>0</v>
      </c>
      <c r="K14" s="69"/>
    </row>
    <row r="15" spans="1:11" s="64" customFormat="1">
      <c r="A15" s="70" t="str">
        <f>IF(ISBLANK(Management!A19),"",Management!A19)</f>
        <v/>
      </c>
      <c r="B15" s="71" t="str">
        <f>Management!E19</f>
        <v/>
      </c>
      <c r="C15" s="66">
        <f>SUMIF('Partner meetings'!$A$7:$A$108,A15,'Partner meetings'!$J$7:$J$108)</f>
        <v>0</v>
      </c>
      <c r="D15" s="71">
        <f>SUMIF('Intellectual outputs'!$A$8:$A$109,A15,'Intellectual outputs'!$E$8:$E$109)</f>
        <v>0</v>
      </c>
      <c r="E15" s="72">
        <f>SUMIF('Multiplier events'!$A$6:$A$36,A15,'Multiplier events'!$H$6:$H$36)</f>
        <v>0</v>
      </c>
      <c r="F15" s="72">
        <f>SUMIF('VET Transnat. training-teaching'!$A$7:$A$106,$A15,'VET Transnat. training-teaching'!$S$7:$S$106)+SUMIF('SCH Transnat. training-teaching'!$A$7:$A$106,$A15,'SCH Transnat. training-teaching'!$S$7:$S$106) +SUMIF('YOU Transnat. training-teach'!$A$7:$A$106,$A15,'YOU Transnat. training-teach'!$S$7:$S$106) +SUMIF('ADU Transnat. training-teaching'!$A$7:$A$106,$A15,'ADU Transnat. training-teaching'!$S$7:$S$106) +SUMIF('HED Transnat. training-teaching'!$A$7:$A$106,$A15,'HED Transnat. training-teaching'!$S$7:$S$106)</f>
        <v>0</v>
      </c>
      <c r="G15" s="72">
        <f>SUMIF('Exceptional costs'!$A$6:$A$36,A15,'Exceptional costs'!$F$6:$F$36)</f>
        <v>0</v>
      </c>
      <c r="H15" s="72">
        <f>SUMIF('Except. costs - ExpensiveTravel'!$A$6:$A$36,A15,'Except. costs - ExpensiveTravel'!$F$6:$F$36)</f>
        <v>0</v>
      </c>
      <c r="I15" s="72">
        <f>SUMIF('Special needs'!$A$6:$A$36,A15,'Special needs'!$G$6:$G$36)</f>
        <v>0</v>
      </c>
      <c r="J15" s="73">
        <f t="shared" si="0"/>
        <v>0</v>
      </c>
      <c r="K15" s="69"/>
    </row>
    <row r="16" spans="1:11" s="64" customFormat="1">
      <c r="A16" s="70" t="str">
        <f>IF(ISBLANK(Management!A20),"",Management!A20)</f>
        <v/>
      </c>
      <c r="B16" s="71" t="str">
        <f>Management!E20</f>
        <v/>
      </c>
      <c r="C16" s="66">
        <f>SUMIF('Partner meetings'!$A$7:$A$108,A16,'Partner meetings'!$J$7:$J$108)</f>
        <v>0</v>
      </c>
      <c r="D16" s="71">
        <f>SUMIF('Intellectual outputs'!$A$8:$A$109,A16,'Intellectual outputs'!$E$8:$E$109)</f>
        <v>0</v>
      </c>
      <c r="E16" s="72">
        <f>SUMIF('Multiplier events'!$A$6:$A$36,A16,'Multiplier events'!$H$6:$H$36)</f>
        <v>0</v>
      </c>
      <c r="F16" s="72">
        <f>SUMIF('VET Transnat. training-teaching'!$A$7:$A$106,$A16,'VET Transnat. training-teaching'!$S$7:$S$106)+SUMIF('SCH Transnat. training-teaching'!$A$7:$A$106,$A16,'SCH Transnat. training-teaching'!$S$7:$S$106) +SUMIF('YOU Transnat. training-teach'!$A$7:$A$106,$A16,'YOU Transnat. training-teach'!$S$7:$S$106) +SUMIF('ADU Transnat. training-teaching'!$A$7:$A$106,$A16,'ADU Transnat. training-teaching'!$S$7:$S$106) +SUMIF('HED Transnat. training-teaching'!$A$7:$A$106,$A16,'HED Transnat. training-teaching'!$S$7:$S$106)</f>
        <v>0</v>
      </c>
      <c r="G16" s="72">
        <f>SUMIF('Exceptional costs'!$A$6:$A$36,A16,'Exceptional costs'!$F$6:$F$36)</f>
        <v>0</v>
      </c>
      <c r="H16" s="72">
        <f>SUMIF('Except. costs - ExpensiveTravel'!$A$6:$A$36,A16,'Except. costs - ExpensiveTravel'!$F$6:$F$36)</f>
        <v>0</v>
      </c>
      <c r="I16" s="72">
        <f>SUMIF('Special needs'!$A$6:$A$36,A16,'Special needs'!$G$6:$G$36)</f>
        <v>0</v>
      </c>
      <c r="J16" s="73">
        <f t="shared" si="0"/>
        <v>0</v>
      </c>
      <c r="K16" s="69"/>
    </row>
    <row r="17" spans="1:11" s="64" customFormat="1">
      <c r="A17" s="70" t="str">
        <f>IF(ISBLANK(Management!A21),"",Management!A21)</f>
        <v/>
      </c>
      <c r="B17" s="71" t="str">
        <f>Management!E21</f>
        <v/>
      </c>
      <c r="C17" s="66">
        <f>SUMIF('Partner meetings'!$A$7:$A$108,A17,'Partner meetings'!$J$7:$J$108)</f>
        <v>0</v>
      </c>
      <c r="D17" s="71">
        <f>SUMIF('Intellectual outputs'!$A$8:$A$109,A17,'Intellectual outputs'!$E$8:$E$109)</f>
        <v>0</v>
      </c>
      <c r="E17" s="72">
        <f>SUMIF('Multiplier events'!$A$6:$A$36,A17,'Multiplier events'!$H$6:$H$36)</f>
        <v>0</v>
      </c>
      <c r="F17" s="72">
        <f>SUMIF('VET Transnat. training-teaching'!$A$7:$A$106,$A17,'VET Transnat. training-teaching'!$S$7:$S$106)+SUMIF('SCH Transnat. training-teaching'!$A$7:$A$106,$A17,'SCH Transnat. training-teaching'!$S$7:$S$106) +SUMIF('YOU Transnat. training-teach'!$A$7:$A$106,$A17,'YOU Transnat. training-teach'!$S$7:$S$106) +SUMIF('ADU Transnat. training-teaching'!$A$7:$A$106,$A17,'ADU Transnat. training-teaching'!$S$7:$S$106) +SUMIF('HED Transnat. training-teaching'!$A$7:$A$106,$A17,'HED Transnat. training-teaching'!$S$7:$S$106)</f>
        <v>0</v>
      </c>
      <c r="G17" s="72">
        <f>SUMIF('Exceptional costs'!$A$6:$A$36,A17,'Exceptional costs'!$F$6:$F$36)</f>
        <v>0</v>
      </c>
      <c r="H17" s="72">
        <f>SUMIF('Except. costs - ExpensiveTravel'!$A$6:$A$36,A17,'Except. costs - ExpensiveTravel'!$F$6:$F$36)</f>
        <v>0</v>
      </c>
      <c r="I17" s="72">
        <f>SUMIF('Special needs'!$A$6:$A$36,A17,'Special needs'!$G$6:$G$36)</f>
        <v>0</v>
      </c>
      <c r="J17" s="73">
        <f t="shared" si="0"/>
        <v>0</v>
      </c>
      <c r="K17" s="69"/>
    </row>
    <row r="18" spans="1:11" s="64" customFormat="1">
      <c r="A18" s="70" t="str">
        <f>IF(ISBLANK(Management!A22),"",Management!A22)</f>
        <v/>
      </c>
      <c r="B18" s="71" t="str">
        <f>Management!E22</f>
        <v/>
      </c>
      <c r="C18" s="66">
        <f>SUMIF('Partner meetings'!$A$7:$A$108,A18,'Partner meetings'!$J$7:$J$108)</f>
        <v>0</v>
      </c>
      <c r="D18" s="71">
        <f>SUMIF('Intellectual outputs'!$A$8:$A$109,A18,'Intellectual outputs'!$E$8:$E$109)</f>
        <v>0</v>
      </c>
      <c r="E18" s="72">
        <f>SUMIF('Multiplier events'!$A$6:$A$36,A18,'Multiplier events'!$H$6:$H$36)</f>
        <v>0</v>
      </c>
      <c r="F18" s="72">
        <f>SUMIF('VET Transnat. training-teaching'!$A$7:$A$106,$A18,'VET Transnat. training-teaching'!$S$7:$S$106)+SUMIF('SCH Transnat. training-teaching'!$A$7:$A$106,$A18,'SCH Transnat. training-teaching'!$S$7:$S$106) +SUMIF('YOU Transnat. training-teach'!$A$7:$A$106,$A18,'YOU Transnat. training-teach'!$S$7:$S$106) +SUMIF('ADU Transnat. training-teaching'!$A$7:$A$106,$A18,'ADU Transnat. training-teaching'!$S$7:$S$106) +SUMIF('HED Transnat. training-teaching'!$A$7:$A$106,$A18,'HED Transnat. training-teaching'!$S$7:$S$106)</f>
        <v>0</v>
      </c>
      <c r="G18" s="72">
        <f>SUMIF('Exceptional costs'!$A$6:$A$36,A18,'Exceptional costs'!$F$6:$F$36)</f>
        <v>0</v>
      </c>
      <c r="H18" s="72">
        <f>SUMIF('Except. costs - ExpensiveTravel'!$A$6:$A$36,A18,'Except. costs - ExpensiveTravel'!$F$6:$F$36)</f>
        <v>0</v>
      </c>
      <c r="I18" s="72">
        <f>SUMIF('Special needs'!$A$6:$A$36,A18,'Special needs'!$G$6:$G$36)</f>
        <v>0</v>
      </c>
      <c r="J18" s="73">
        <f t="shared" si="0"/>
        <v>0</v>
      </c>
      <c r="K18" s="69"/>
    </row>
    <row r="19" spans="1:11" s="64" customFormat="1">
      <c r="A19" s="70" t="str">
        <f>IF(ISBLANK(Management!A23),"",Management!A23)</f>
        <v/>
      </c>
      <c r="B19" s="71" t="str">
        <f>Management!E23</f>
        <v/>
      </c>
      <c r="C19" s="66">
        <f>SUMIF('Partner meetings'!$A$7:$A$108,A19,'Partner meetings'!$J$7:$J$108)</f>
        <v>0</v>
      </c>
      <c r="D19" s="71">
        <f>SUMIF('Intellectual outputs'!$A$8:$A$109,A19,'Intellectual outputs'!$E$8:$E$109)</f>
        <v>0</v>
      </c>
      <c r="E19" s="72">
        <f>SUMIF('Multiplier events'!$A$6:$A$36,A19,'Multiplier events'!$H$6:$H$36)</f>
        <v>0</v>
      </c>
      <c r="F19" s="72">
        <f>SUMIF('VET Transnat. training-teaching'!$A$7:$A$106,$A19,'VET Transnat. training-teaching'!$S$7:$S$106)+SUMIF('SCH Transnat. training-teaching'!$A$7:$A$106,$A19,'SCH Transnat. training-teaching'!$S$7:$S$106) +SUMIF('YOU Transnat. training-teach'!$A$7:$A$106,$A19,'YOU Transnat. training-teach'!$S$7:$S$106) +SUMIF('ADU Transnat. training-teaching'!$A$7:$A$106,$A19,'ADU Transnat. training-teaching'!$S$7:$S$106) +SUMIF('HED Transnat. training-teaching'!$A$7:$A$106,$A19,'HED Transnat. training-teaching'!$S$7:$S$106)</f>
        <v>0</v>
      </c>
      <c r="G19" s="72">
        <f>SUMIF('Exceptional costs'!$A$6:$A$36,A19,'Exceptional costs'!$F$6:$F$36)</f>
        <v>0</v>
      </c>
      <c r="H19" s="72">
        <f>SUMIF('Except. costs - ExpensiveTravel'!$A$6:$A$36,A19,'Except. costs - ExpensiveTravel'!$F$6:$F$36)</f>
        <v>0</v>
      </c>
      <c r="I19" s="72">
        <f>SUMIF('Special needs'!$A$6:$A$36,A19,'Special needs'!$G$6:$G$36)</f>
        <v>0</v>
      </c>
      <c r="J19" s="73">
        <f t="shared" si="0"/>
        <v>0</v>
      </c>
      <c r="K19" s="69"/>
    </row>
    <row r="20" spans="1:11" s="64" customFormat="1">
      <c r="A20" s="70" t="str">
        <f>IF(ISBLANK(Management!A24),"",Management!A24)</f>
        <v/>
      </c>
      <c r="B20" s="71" t="str">
        <f>Management!E24</f>
        <v/>
      </c>
      <c r="C20" s="66">
        <f>SUMIF('Partner meetings'!$A$7:$A$108,A20,'Partner meetings'!$J$7:$J$108)</f>
        <v>0</v>
      </c>
      <c r="D20" s="71">
        <f>SUMIF('Intellectual outputs'!$A$8:$A$109,A20,'Intellectual outputs'!$E$8:$E$109)</f>
        <v>0</v>
      </c>
      <c r="E20" s="72">
        <f>SUMIF('Multiplier events'!$A$6:$A$36,A20,'Multiplier events'!$H$6:$H$36)</f>
        <v>0</v>
      </c>
      <c r="F20" s="72">
        <f>SUMIF('VET Transnat. training-teaching'!$A$7:$A$106,$A20,'VET Transnat. training-teaching'!$S$7:$S$106)+SUMIF('SCH Transnat. training-teaching'!$A$7:$A$106,$A20,'SCH Transnat. training-teaching'!$S$7:$S$106) +SUMIF('YOU Transnat. training-teach'!$A$7:$A$106,$A20,'YOU Transnat. training-teach'!$S$7:$S$106) +SUMIF('ADU Transnat. training-teaching'!$A$7:$A$106,$A20,'ADU Transnat. training-teaching'!$S$7:$S$106) +SUMIF('HED Transnat. training-teaching'!$A$7:$A$106,$A20,'HED Transnat. training-teaching'!$S$7:$S$106)</f>
        <v>0</v>
      </c>
      <c r="G20" s="72">
        <f>SUMIF('Exceptional costs'!$A$6:$A$36,A20,'Exceptional costs'!$F$6:$F$36)</f>
        <v>0</v>
      </c>
      <c r="H20" s="72">
        <f>SUMIF('Except. costs - ExpensiveTravel'!$A$6:$A$36,A20,'Except. costs - ExpensiveTravel'!$F$6:$F$36)</f>
        <v>0</v>
      </c>
      <c r="I20" s="72">
        <f>SUMIF('Special needs'!$A$6:$A$36,A20,'Special needs'!$G$6:$G$36)</f>
        <v>0</v>
      </c>
      <c r="J20" s="73">
        <f t="shared" si="0"/>
        <v>0</v>
      </c>
      <c r="K20" s="69"/>
    </row>
    <row r="21" spans="1:11" s="64" customFormat="1" ht="13.5" thickBot="1">
      <c r="A21" s="74" t="str">
        <f>IF(ISBLANK(Management!A25),"",Management!A25)</f>
        <v/>
      </c>
      <c r="B21" s="75" t="str">
        <f>Management!E25</f>
        <v/>
      </c>
      <c r="C21" s="75">
        <f>SUMIF('Partner meetings'!$A$7:$A$108,A21,'Partner meetings'!$J$7:$J$108)</f>
        <v>0</v>
      </c>
      <c r="D21" s="75">
        <f>SUMIF('Intellectual outputs'!$A$8:$A$109,A21,'Intellectual outputs'!$E$8:$E$109)</f>
        <v>0</v>
      </c>
      <c r="E21" s="76">
        <f>SUMIF('Multiplier events'!$A$6:$A$36,A21,'Multiplier events'!$H$6:$H$36)</f>
        <v>0</v>
      </c>
      <c r="F21" s="76">
        <f>SUMIF('VET Transnat. training-teaching'!$A$7:$A$106,$A21,'VET Transnat. training-teaching'!$S$7:$S$106)+SUMIF('SCH Transnat. training-teaching'!$A$7:$A$106,$A21,'SCH Transnat. training-teaching'!$S$7:$S$106) +SUMIF('YOU Transnat. training-teach'!$A$7:$A$106,$A21,'YOU Transnat. training-teach'!$S$7:$S$106) +SUMIF('ADU Transnat. training-teaching'!$A$7:$A$106,$A21,'ADU Transnat. training-teaching'!$S$7:$S$106) +SUMIF('HED Transnat. training-teaching'!$A$7:$A$106,$A21,'HED Transnat. training-teaching'!$S$7:$S$106)</f>
        <v>0</v>
      </c>
      <c r="G21" s="76">
        <f>SUMIF('Exceptional costs'!$A$6:$A$36,A21,'Exceptional costs'!$F$6:$F$36)</f>
        <v>0</v>
      </c>
      <c r="H21" s="76">
        <f>SUMIF('Except. costs - ExpensiveTravel'!$A$6:$A$36,A21,'Except. costs - ExpensiveTravel'!$F$6:$F$36)</f>
        <v>0</v>
      </c>
      <c r="I21" s="76">
        <f>SUMIF('Special needs'!$A$6:$A$36,A21,'Special needs'!$G$6:$G$36)</f>
        <v>0</v>
      </c>
      <c r="J21" s="77">
        <f t="shared" si="0"/>
        <v>0</v>
      </c>
      <c r="K21" s="69"/>
    </row>
    <row r="22" spans="1:11" hidden="1">
      <c r="D22" s="356"/>
      <c r="E22" s="418" t="s">
        <v>447</v>
      </c>
      <c r="F22" s="419">
        <f>'VET Transnat. training-teaching'!E107+'SCH Transnat. training-teaching'!E107+'YOU Transnat. training-teach'!E107+'ADU Transnat. training-teaching'!E107+'HED Transnat. training-teaching'!E107+'VET Transnat. training-teaching'!H107+'SCH Transnat. training-teaching'!H107+'YOU Transnat. training-teach'!H107+'ADU Transnat. training-teaching'!H107+'HED Transnat. training-teaching'!H107</f>
        <v>0</v>
      </c>
    </row>
  </sheetData>
  <sheetProtection password="B516" sheet="1" objects="1" scenarios="1"/>
  <mergeCells count="3">
    <mergeCell ref="A1:B1"/>
    <mergeCell ref="C1:J1"/>
    <mergeCell ref="A4:J4"/>
  </mergeCells>
  <phoneticPr fontId="7" type="noConversion"/>
  <conditionalFormatting sqref="J6">
    <cfRule type="cellIs" dxfId="1" priority="2" stopIfTrue="1" operator="equal">
      <formula>"ERROR"</formula>
    </cfRule>
  </conditionalFormatting>
  <conditionalFormatting sqref="J6">
    <cfRule type="expression" dxfId="0" priority="3" stopIfTrue="1">
      <formula>K6&lt;&gt;""</formula>
    </cfRule>
  </conditionalFormatting>
  <dataValidations disablePrompts="1" count="2">
    <dataValidation type="list" allowBlank="1" showInputMessage="1" showErrorMessage="1" sqref="N2:N3">
      <formula1>ActionsList</formula1>
    </dataValidation>
    <dataValidation type="whole" operator="greaterThanOrEqual" allowBlank="1" showInputMessage="1" showErrorMessage="1" sqref="J7:K21">
      <formula1>0</formula1>
    </dataValidation>
  </dataValidations>
  <printOptions horizontalCentered="1"/>
  <pageMargins left="0.7" right="0.7" top="0.75" bottom="0.75" header="0.3" footer="0.3"/>
  <pageSetup paperSize="9" scale="85" orientation="landscape" r:id="rId1"/>
  <headerFooter scaleWithDoc="0">
    <oddHeader>&amp;C&amp;11 2020 - C2  E+ KA226 - HED&amp;RVersion: 2020.09.08. - TKA</oddHeader>
    <oddFooter>&amp;C&amp;"Arial,Félkövér"&amp;A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5">
    <tabColor indexed="55"/>
    <pageSetUpPr fitToPage="1"/>
  </sheetPr>
  <dimension ref="A1:Y203"/>
  <sheetViews>
    <sheetView view="pageLayout" zoomScaleNormal="65" workbookViewId="0">
      <selection activeCell="N68" sqref="N68"/>
    </sheetView>
  </sheetViews>
  <sheetFormatPr defaultColWidth="8.85546875" defaultRowHeight="15.75"/>
  <cols>
    <col min="1" max="1" width="20.140625" style="273" customWidth="1"/>
    <col min="2" max="2" width="8.28515625" style="335" customWidth="1"/>
    <col min="3" max="3" width="8.42578125" style="273" bestFit="1" customWidth="1"/>
    <col min="4" max="4" width="12" style="273" customWidth="1"/>
    <col min="5" max="5" width="9.42578125" style="273" bestFit="1" customWidth="1"/>
    <col min="6" max="6" width="14" style="273" bestFit="1" customWidth="1"/>
    <col min="7" max="7" width="5.85546875" style="273" bestFit="1" customWidth="1"/>
    <col min="8" max="8" width="0.7109375" style="272" customWidth="1"/>
    <col min="9" max="9" width="2.42578125" style="272" customWidth="1"/>
    <col min="10" max="10" width="17.42578125" style="273" customWidth="1"/>
    <col min="11" max="11" width="10.7109375" style="273" customWidth="1"/>
    <col min="12" max="12" width="2.42578125" style="273" customWidth="1"/>
    <col min="13" max="13" width="10.7109375" style="273" customWidth="1"/>
    <col min="14" max="14" width="10.85546875" style="273" customWidth="1"/>
    <col min="15" max="16" width="12.85546875" style="273" customWidth="1"/>
    <col min="17" max="17" width="17.42578125" style="273" customWidth="1"/>
    <col min="18" max="18" width="28.7109375" style="292" customWidth="1"/>
    <col min="19" max="19" width="3.7109375" style="292" bestFit="1" customWidth="1"/>
    <col min="20" max="20" width="2.42578125" style="273" customWidth="1"/>
    <col min="21" max="21" width="24.42578125" style="292" customWidth="1"/>
    <col min="22" max="22" width="3.7109375" style="292" bestFit="1" customWidth="1"/>
    <col min="23" max="23" width="2.42578125" style="273" customWidth="1"/>
    <col min="24" max="24" width="17.42578125" style="273" bestFit="1" customWidth="1"/>
    <col min="25" max="25" width="10.85546875" style="273" customWidth="1"/>
    <col min="26" max="16384" width="8.85546875" style="273"/>
  </cols>
  <sheetData>
    <row r="1" spans="1:25" ht="30.75" customHeight="1" thickBot="1">
      <c r="A1" s="660" t="s">
        <v>125</v>
      </c>
      <c r="B1" s="660"/>
      <c r="C1" s="660"/>
      <c r="D1" s="660"/>
      <c r="E1" s="660"/>
      <c r="F1" s="660"/>
      <c r="G1" s="660"/>
      <c r="M1" s="654" t="s">
        <v>115</v>
      </c>
      <c r="N1" s="654"/>
      <c r="O1" s="654"/>
      <c r="P1" s="654"/>
      <c r="Q1" s="654"/>
      <c r="R1" s="654"/>
      <c r="S1" s="654"/>
      <c r="U1" s="657" t="s">
        <v>114</v>
      </c>
      <c r="V1" s="657"/>
    </row>
    <row r="2" spans="1:25" ht="39" thickBot="1">
      <c r="A2" s="643" t="s">
        <v>102</v>
      </c>
      <c r="B2" s="644"/>
      <c r="C2" s="650" t="s">
        <v>43</v>
      </c>
      <c r="D2" s="655"/>
      <c r="E2" s="655"/>
      <c r="F2" s="656"/>
      <c r="G2" s="274"/>
      <c r="J2" s="650" t="s">
        <v>88</v>
      </c>
      <c r="K2" s="651"/>
      <c r="M2" s="275"/>
      <c r="N2" s="645" t="s">
        <v>311</v>
      </c>
      <c r="O2" s="646"/>
      <c r="P2" s="647"/>
      <c r="Q2" s="385" t="s">
        <v>414</v>
      </c>
      <c r="R2" s="658" t="s">
        <v>404</v>
      </c>
      <c r="S2" s="659"/>
      <c r="T2" s="386"/>
      <c r="U2" s="658" t="s">
        <v>312</v>
      </c>
      <c r="V2" s="659"/>
      <c r="W2" s="386"/>
      <c r="X2" s="652" t="s">
        <v>313</v>
      </c>
      <c r="Y2" s="653"/>
    </row>
    <row r="3" spans="1:25" s="284" customFormat="1" ht="90" customHeight="1" thickBot="1">
      <c r="A3" s="341" t="s">
        <v>2</v>
      </c>
      <c r="B3" s="277" t="s">
        <v>44</v>
      </c>
      <c r="C3" s="276" t="s">
        <v>38</v>
      </c>
      <c r="D3" s="278" t="s">
        <v>45</v>
      </c>
      <c r="E3" s="279" t="s">
        <v>39</v>
      </c>
      <c r="F3" s="280" t="s">
        <v>40</v>
      </c>
      <c r="G3" s="281"/>
      <c r="H3" s="272"/>
      <c r="I3" s="272"/>
      <c r="J3" s="282" t="s">
        <v>123</v>
      </c>
      <c r="K3" s="283" t="s">
        <v>148</v>
      </c>
      <c r="M3" s="285"/>
      <c r="N3" s="387" t="s">
        <v>428</v>
      </c>
      <c r="O3" s="387" t="s">
        <v>429</v>
      </c>
      <c r="P3" s="387" t="s">
        <v>430</v>
      </c>
      <c r="Q3" s="388" t="s">
        <v>431</v>
      </c>
      <c r="R3" s="389" t="s">
        <v>471</v>
      </c>
      <c r="S3" s="390">
        <v>106</v>
      </c>
      <c r="T3" s="391"/>
      <c r="U3" s="392" t="s">
        <v>113</v>
      </c>
      <c r="V3" s="393">
        <v>150</v>
      </c>
      <c r="W3" s="391"/>
      <c r="X3" s="394" t="s">
        <v>123</v>
      </c>
      <c r="Y3" s="395" t="s">
        <v>148</v>
      </c>
    </row>
    <row r="4" spans="1:25" s="284" customFormat="1" ht="32.25" customHeight="1" thickBot="1">
      <c r="A4" s="342" t="s">
        <v>67</v>
      </c>
      <c r="B4" s="286" t="s">
        <v>5</v>
      </c>
      <c r="C4" s="287">
        <v>294</v>
      </c>
      <c r="D4" s="288">
        <v>241</v>
      </c>
      <c r="E4" s="288">
        <v>190</v>
      </c>
      <c r="F4" s="289">
        <v>157</v>
      </c>
      <c r="G4" s="637" t="s">
        <v>90</v>
      </c>
      <c r="H4" s="272"/>
      <c r="I4" s="272"/>
      <c r="J4" s="290" t="s">
        <v>124</v>
      </c>
      <c r="K4" s="291">
        <v>575</v>
      </c>
      <c r="M4" s="275" t="s">
        <v>67</v>
      </c>
      <c r="N4" s="396">
        <v>110</v>
      </c>
      <c r="O4" s="397">
        <v>77</v>
      </c>
      <c r="P4" s="397">
        <v>55</v>
      </c>
      <c r="Q4" s="398">
        <v>147</v>
      </c>
      <c r="R4" s="399" t="s">
        <v>152</v>
      </c>
      <c r="S4" s="400">
        <v>74</v>
      </c>
      <c r="T4" s="391"/>
      <c r="U4" s="401"/>
      <c r="V4" s="401"/>
      <c r="W4" s="391"/>
      <c r="X4" s="402" t="s">
        <v>472</v>
      </c>
      <c r="Y4" s="403">
        <v>0</v>
      </c>
    </row>
    <row r="5" spans="1:25" ht="16.5" thickBot="1">
      <c r="A5" s="343" t="s">
        <v>52</v>
      </c>
      <c r="B5" s="293" t="s">
        <v>8</v>
      </c>
      <c r="C5" s="294">
        <v>280</v>
      </c>
      <c r="D5" s="295">
        <v>214</v>
      </c>
      <c r="E5" s="295">
        <v>162</v>
      </c>
      <c r="F5" s="296">
        <v>131</v>
      </c>
      <c r="G5" s="638"/>
      <c r="J5" s="297" t="s">
        <v>126</v>
      </c>
      <c r="K5" s="298">
        <v>760</v>
      </c>
      <c r="M5" s="299" t="s">
        <v>52</v>
      </c>
      <c r="N5" s="404">
        <v>110</v>
      </c>
      <c r="O5" s="404">
        <v>77</v>
      </c>
      <c r="P5" s="404">
        <v>55</v>
      </c>
      <c r="Q5" s="405">
        <v>147</v>
      </c>
      <c r="R5" s="635" t="s">
        <v>418</v>
      </c>
      <c r="S5" s="636"/>
      <c r="T5" s="386"/>
      <c r="U5" s="401"/>
      <c r="V5" s="401"/>
      <c r="W5" s="386"/>
      <c r="X5" s="416" t="s">
        <v>438</v>
      </c>
      <c r="Y5" s="417">
        <v>20</v>
      </c>
    </row>
    <row r="6" spans="1:25" ht="32.25" thickBot="1">
      <c r="A6" s="343" t="s">
        <v>53</v>
      </c>
      <c r="B6" s="293" t="s">
        <v>30</v>
      </c>
      <c r="C6" s="294">
        <v>88</v>
      </c>
      <c r="D6" s="295">
        <v>74</v>
      </c>
      <c r="E6" s="295">
        <v>55</v>
      </c>
      <c r="F6" s="296">
        <v>39</v>
      </c>
      <c r="G6" s="638"/>
      <c r="M6" s="299" t="s">
        <v>53</v>
      </c>
      <c r="N6" s="404">
        <v>90</v>
      </c>
      <c r="O6" s="404">
        <v>63</v>
      </c>
      <c r="P6" s="404">
        <v>45</v>
      </c>
      <c r="Q6" s="405">
        <v>105</v>
      </c>
      <c r="R6" s="408" t="s">
        <v>470</v>
      </c>
      <c r="S6" s="390">
        <v>58</v>
      </c>
      <c r="T6" s="386"/>
      <c r="U6" s="401"/>
      <c r="V6" s="401"/>
      <c r="W6" s="386"/>
      <c r="X6" s="406" t="s">
        <v>439</v>
      </c>
      <c r="Y6" s="407">
        <v>180</v>
      </c>
    </row>
    <row r="7" spans="1:25" ht="48" thickBot="1">
      <c r="A7" s="343" t="s">
        <v>61</v>
      </c>
      <c r="B7" s="293" t="s">
        <v>7</v>
      </c>
      <c r="C7" s="294">
        <v>164</v>
      </c>
      <c r="D7" s="295">
        <v>137</v>
      </c>
      <c r="E7" s="295">
        <v>102</v>
      </c>
      <c r="F7" s="296">
        <v>78</v>
      </c>
      <c r="G7" s="638"/>
      <c r="J7" s="648" t="s">
        <v>149</v>
      </c>
      <c r="K7" s="649"/>
      <c r="M7" s="299" t="s">
        <v>61</v>
      </c>
      <c r="N7" s="404">
        <v>110</v>
      </c>
      <c r="O7" s="404">
        <v>77</v>
      </c>
      <c r="P7" s="404">
        <v>55</v>
      </c>
      <c r="Q7" s="405">
        <v>147</v>
      </c>
      <c r="R7" s="399" t="s">
        <v>152</v>
      </c>
      <c r="S7" s="400">
        <v>42</v>
      </c>
      <c r="T7" s="386"/>
      <c r="U7" s="401"/>
      <c r="V7" s="401"/>
      <c r="W7" s="386"/>
      <c r="X7" s="406" t="s">
        <v>440</v>
      </c>
      <c r="Y7" s="407">
        <v>275</v>
      </c>
    </row>
    <row r="8" spans="1:25" ht="16.5" thickBot="1">
      <c r="A8" s="343" t="s">
        <v>84</v>
      </c>
      <c r="B8" s="293" t="s">
        <v>6</v>
      </c>
      <c r="C8" s="294">
        <v>164</v>
      </c>
      <c r="D8" s="295">
        <v>137</v>
      </c>
      <c r="E8" s="295">
        <v>102</v>
      </c>
      <c r="F8" s="296">
        <v>78</v>
      </c>
      <c r="G8" s="638"/>
      <c r="J8" s="301" t="s">
        <v>391</v>
      </c>
      <c r="K8" s="302" t="s">
        <v>150</v>
      </c>
      <c r="M8" s="299" t="s">
        <v>84</v>
      </c>
      <c r="N8" s="404">
        <v>90</v>
      </c>
      <c r="O8" s="404">
        <v>63</v>
      </c>
      <c r="P8" s="404">
        <v>45</v>
      </c>
      <c r="Q8" s="405">
        <v>105</v>
      </c>
      <c r="R8" s="401"/>
      <c r="S8" s="401"/>
      <c r="T8" s="386"/>
      <c r="U8" s="401"/>
      <c r="V8" s="401"/>
      <c r="W8" s="386"/>
      <c r="X8" s="406" t="s">
        <v>441</v>
      </c>
      <c r="Y8" s="407">
        <v>360</v>
      </c>
    </row>
    <row r="9" spans="1:25">
      <c r="A9" s="343" t="s">
        <v>54</v>
      </c>
      <c r="B9" s="293" t="s">
        <v>9</v>
      </c>
      <c r="C9" s="294">
        <v>294</v>
      </c>
      <c r="D9" s="295">
        <v>241</v>
      </c>
      <c r="E9" s="295">
        <v>190</v>
      </c>
      <c r="F9" s="296">
        <v>157</v>
      </c>
      <c r="G9" s="638"/>
      <c r="J9" s="511">
        <v>12</v>
      </c>
      <c r="K9" s="512">
        <f>J9*12500</f>
        <v>150000</v>
      </c>
      <c r="M9" s="299" t="s">
        <v>54</v>
      </c>
      <c r="N9" s="404">
        <v>125</v>
      </c>
      <c r="O9" s="404">
        <v>88</v>
      </c>
      <c r="P9" s="404">
        <v>63</v>
      </c>
      <c r="Q9" s="405">
        <v>168</v>
      </c>
      <c r="R9" s="401"/>
      <c r="S9" s="401"/>
      <c r="T9" s="386"/>
      <c r="U9" s="401"/>
      <c r="V9" s="401"/>
      <c r="W9" s="386"/>
      <c r="X9" s="406" t="s">
        <v>442</v>
      </c>
      <c r="Y9" s="407">
        <v>530</v>
      </c>
    </row>
    <row r="10" spans="1:25">
      <c r="A10" s="343" t="s">
        <v>85</v>
      </c>
      <c r="B10" s="293" t="s">
        <v>41</v>
      </c>
      <c r="C10" s="294">
        <v>280</v>
      </c>
      <c r="D10" s="295">
        <v>214</v>
      </c>
      <c r="E10" s="295">
        <v>162</v>
      </c>
      <c r="F10" s="296">
        <v>131</v>
      </c>
      <c r="G10" s="638"/>
      <c r="J10" s="303">
        <v>13</v>
      </c>
      <c r="K10" s="304">
        <f t="shared" ref="K10:K21" si="0">J10*12500</f>
        <v>162500</v>
      </c>
      <c r="M10" s="299" t="s">
        <v>85</v>
      </c>
      <c r="N10" s="404">
        <v>125</v>
      </c>
      <c r="O10" s="404">
        <v>88</v>
      </c>
      <c r="P10" s="404">
        <v>63</v>
      </c>
      <c r="Q10" s="405">
        <v>168</v>
      </c>
      <c r="R10" s="401"/>
      <c r="S10" s="401"/>
      <c r="T10" s="386"/>
      <c r="U10" s="401"/>
      <c r="V10" s="401"/>
      <c r="W10" s="386"/>
      <c r="X10" s="406" t="s">
        <v>443</v>
      </c>
      <c r="Y10" s="407">
        <v>820</v>
      </c>
    </row>
    <row r="11" spans="1:25" ht="16.5" thickBot="1">
      <c r="A11" s="343" t="s">
        <v>56</v>
      </c>
      <c r="B11" s="293" t="s">
        <v>11</v>
      </c>
      <c r="C11" s="294">
        <v>88</v>
      </c>
      <c r="D11" s="295">
        <v>74</v>
      </c>
      <c r="E11" s="295">
        <v>55</v>
      </c>
      <c r="F11" s="296">
        <v>39</v>
      </c>
      <c r="G11" s="638"/>
      <c r="J11" s="303">
        <v>14</v>
      </c>
      <c r="K11" s="304">
        <f t="shared" si="0"/>
        <v>175000</v>
      </c>
      <c r="M11" s="299" t="s">
        <v>56</v>
      </c>
      <c r="N11" s="404">
        <v>90</v>
      </c>
      <c r="O11" s="404">
        <v>63</v>
      </c>
      <c r="P11" s="404">
        <v>45</v>
      </c>
      <c r="Q11" s="405">
        <v>105</v>
      </c>
      <c r="R11" s="401"/>
      <c r="S11" s="401"/>
      <c r="T11" s="386"/>
      <c r="U11" s="401"/>
      <c r="V11" s="401"/>
      <c r="W11" s="386"/>
      <c r="X11" s="409" t="s">
        <v>444</v>
      </c>
      <c r="Y11" s="410">
        <v>1500</v>
      </c>
    </row>
    <row r="12" spans="1:25">
      <c r="A12" s="343" t="s">
        <v>71</v>
      </c>
      <c r="B12" s="293" t="s">
        <v>25</v>
      </c>
      <c r="C12" s="294">
        <v>280</v>
      </c>
      <c r="D12" s="295">
        <v>214</v>
      </c>
      <c r="E12" s="295">
        <v>162</v>
      </c>
      <c r="F12" s="296">
        <v>131</v>
      </c>
      <c r="G12" s="638"/>
      <c r="J12" s="303">
        <v>15</v>
      </c>
      <c r="K12" s="304">
        <f t="shared" si="0"/>
        <v>187500</v>
      </c>
      <c r="M12" s="299" t="s">
        <v>71</v>
      </c>
      <c r="N12" s="404">
        <v>125</v>
      </c>
      <c r="O12" s="404">
        <v>88</v>
      </c>
      <c r="P12" s="404">
        <v>63</v>
      </c>
      <c r="Q12" s="405">
        <v>168</v>
      </c>
      <c r="R12" s="401"/>
      <c r="S12" s="401"/>
      <c r="T12" s="386"/>
      <c r="U12" s="401"/>
      <c r="V12" s="401"/>
      <c r="W12" s="386"/>
      <c r="X12" s="413"/>
      <c r="Y12" s="413"/>
    </row>
    <row r="13" spans="1:25">
      <c r="A13" s="343" t="s">
        <v>79</v>
      </c>
      <c r="B13" s="293" t="s">
        <v>13</v>
      </c>
      <c r="C13" s="294">
        <v>280</v>
      </c>
      <c r="D13" s="295">
        <v>214</v>
      </c>
      <c r="E13" s="295">
        <v>162</v>
      </c>
      <c r="F13" s="296">
        <v>131</v>
      </c>
      <c r="G13" s="638"/>
      <c r="J13" s="303">
        <v>16</v>
      </c>
      <c r="K13" s="304">
        <f t="shared" si="0"/>
        <v>200000</v>
      </c>
      <c r="M13" s="299" t="s">
        <v>79</v>
      </c>
      <c r="N13" s="404">
        <v>110</v>
      </c>
      <c r="O13" s="404">
        <v>77</v>
      </c>
      <c r="P13" s="404">
        <v>55</v>
      </c>
      <c r="Q13" s="405">
        <v>147</v>
      </c>
      <c r="R13" s="401"/>
      <c r="S13" s="401"/>
      <c r="T13" s="386"/>
      <c r="U13" s="401"/>
      <c r="V13" s="401"/>
      <c r="W13" s="386"/>
      <c r="X13" s="386"/>
      <c r="Y13" s="386"/>
    </row>
    <row r="14" spans="1:25">
      <c r="A14" s="343" t="s">
        <v>57</v>
      </c>
      <c r="B14" s="293" t="s">
        <v>46</v>
      </c>
      <c r="C14" s="294">
        <v>164</v>
      </c>
      <c r="D14" s="295">
        <v>137</v>
      </c>
      <c r="E14" s="295">
        <v>102</v>
      </c>
      <c r="F14" s="296">
        <v>78</v>
      </c>
      <c r="G14" s="638"/>
      <c r="J14" s="303">
        <v>17</v>
      </c>
      <c r="K14" s="304">
        <f t="shared" si="0"/>
        <v>212500</v>
      </c>
      <c r="M14" s="299" t="s">
        <v>86</v>
      </c>
      <c r="N14" s="404">
        <v>110</v>
      </c>
      <c r="O14" s="404">
        <v>77</v>
      </c>
      <c r="P14" s="404">
        <v>55</v>
      </c>
      <c r="Q14" s="405">
        <v>147</v>
      </c>
      <c r="R14" s="401"/>
      <c r="S14" s="401"/>
      <c r="T14" s="386"/>
      <c r="U14" s="401"/>
      <c r="V14" s="401"/>
      <c r="W14" s="386"/>
      <c r="X14" s="386"/>
      <c r="Y14" s="386"/>
    </row>
    <row r="15" spans="1:25">
      <c r="A15" s="343" t="s">
        <v>66</v>
      </c>
      <c r="B15" s="293" t="s">
        <v>20</v>
      </c>
      <c r="C15" s="294">
        <v>294</v>
      </c>
      <c r="D15" s="295">
        <v>241</v>
      </c>
      <c r="E15" s="295">
        <v>190</v>
      </c>
      <c r="F15" s="296">
        <v>157</v>
      </c>
      <c r="G15" s="638"/>
      <c r="J15" s="303">
        <v>18</v>
      </c>
      <c r="K15" s="304">
        <f t="shared" si="0"/>
        <v>225000</v>
      </c>
      <c r="M15" s="299" t="s">
        <v>66</v>
      </c>
      <c r="N15" s="404">
        <v>110</v>
      </c>
      <c r="O15" s="404">
        <v>77</v>
      </c>
      <c r="P15" s="404">
        <v>55</v>
      </c>
      <c r="Q15" s="405">
        <v>147</v>
      </c>
      <c r="R15" s="401"/>
      <c r="S15" s="401"/>
      <c r="T15" s="386"/>
      <c r="U15" s="401"/>
      <c r="V15" s="401"/>
      <c r="W15" s="386"/>
      <c r="X15" s="386"/>
      <c r="Y15" s="300"/>
    </row>
    <row r="16" spans="1:25">
      <c r="A16" s="343" t="s">
        <v>76</v>
      </c>
      <c r="B16" s="293" t="s">
        <v>51</v>
      </c>
      <c r="C16" s="294">
        <v>88</v>
      </c>
      <c r="D16" s="295">
        <v>74</v>
      </c>
      <c r="E16" s="295">
        <v>55</v>
      </c>
      <c r="F16" s="296">
        <v>39</v>
      </c>
      <c r="G16" s="638"/>
      <c r="J16" s="303">
        <v>19</v>
      </c>
      <c r="K16" s="304">
        <f t="shared" si="0"/>
        <v>237500</v>
      </c>
      <c r="M16" s="299" t="s">
        <v>76</v>
      </c>
      <c r="N16" s="404">
        <v>90</v>
      </c>
      <c r="O16" s="404">
        <v>63</v>
      </c>
      <c r="P16" s="404">
        <v>45</v>
      </c>
      <c r="Q16" s="405">
        <v>105</v>
      </c>
      <c r="R16" s="401"/>
      <c r="S16" s="401"/>
      <c r="T16" s="386"/>
      <c r="U16" s="401"/>
      <c r="V16" s="401"/>
      <c r="W16" s="386"/>
      <c r="X16" s="386"/>
      <c r="Y16" s="300"/>
    </row>
    <row r="17" spans="1:25">
      <c r="A17" s="343" t="s">
        <v>59</v>
      </c>
      <c r="B17" s="293" t="s">
        <v>14</v>
      </c>
      <c r="C17" s="294">
        <v>294</v>
      </c>
      <c r="D17" s="295">
        <v>241</v>
      </c>
      <c r="E17" s="295">
        <v>190</v>
      </c>
      <c r="F17" s="296">
        <v>157</v>
      </c>
      <c r="G17" s="638"/>
      <c r="J17" s="303">
        <v>20</v>
      </c>
      <c r="K17" s="304">
        <f t="shared" si="0"/>
        <v>250000</v>
      </c>
      <c r="M17" s="299" t="s">
        <v>59</v>
      </c>
      <c r="N17" s="404">
        <v>125</v>
      </c>
      <c r="O17" s="404">
        <v>88</v>
      </c>
      <c r="P17" s="404">
        <v>63</v>
      </c>
      <c r="Q17" s="405">
        <v>168</v>
      </c>
      <c r="R17" s="401"/>
      <c r="S17" s="401"/>
      <c r="T17" s="386"/>
      <c r="U17" s="401"/>
      <c r="V17" s="401"/>
      <c r="W17" s="386"/>
      <c r="X17" s="386"/>
      <c r="Y17" s="300"/>
    </row>
    <row r="18" spans="1:25">
      <c r="A18" s="343" t="s">
        <v>73</v>
      </c>
      <c r="B18" s="293" t="s">
        <v>27</v>
      </c>
      <c r="C18" s="294">
        <v>280</v>
      </c>
      <c r="D18" s="295">
        <v>214</v>
      </c>
      <c r="E18" s="295">
        <v>162</v>
      </c>
      <c r="F18" s="296">
        <v>131</v>
      </c>
      <c r="G18" s="638"/>
      <c r="J18" s="303">
        <v>21</v>
      </c>
      <c r="K18" s="304">
        <f t="shared" si="0"/>
        <v>262500</v>
      </c>
      <c r="M18" s="299" t="s">
        <v>73</v>
      </c>
      <c r="N18" s="404">
        <v>125</v>
      </c>
      <c r="O18" s="404">
        <v>88</v>
      </c>
      <c r="P18" s="404">
        <v>63</v>
      </c>
      <c r="Q18" s="405">
        <v>168</v>
      </c>
      <c r="R18" s="401"/>
      <c r="S18" s="401"/>
      <c r="T18" s="386"/>
      <c r="U18" s="401"/>
      <c r="V18" s="401"/>
      <c r="W18" s="386"/>
      <c r="X18" s="386"/>
      <c r="Y18" s="300"/>
    </row>
    <row r="19" spans="1:25">
      <c r="A19" s="343" t="s">
        <v>68</v>
      </c>
      <c r="B19" s="293" t="s">
        <v>21</v>
      </c>
      <c r="C19" s="294">
        <v>88</v>
      </c>
      <c r="D19" s="295">
        <v>74</v>
      </c>
      <c r="E19" s="295">
        <v>55</v>
      </c>
      <c r="F19" s="296">
        <v>39</v>
      </c>
      <c r="G19" s="638"/>
      <c r="J19" s="303">
        <v>22</v>
      </c>
      <c r="K19" s="304">
        <f t="shared" si="0"/>
        <v>275000</v>
      </c>
      <c r="M19" s="299" t="s">
        <v>68</v>
      </c>
      <c r="N19" s="404">
        <v>90</v>
      </c>
      <c r="O19" s="404">
        <v>63</v>
      </c>
      <c r="P19" s="404">
        <v>45</v>
      </c>
      <c r="Q19" s="405">
        <v>105</v>
      </c>
      <c r="R19" s="401"/>
      <c r="S19" s="401"/>
      <c r="T19" s="386"/>
      <c r="U19" s="401"/>
      <c r="V19" s="401"/>
      <c r="W19" s="386"/>
      <c r="X19" s="386"/>
      <c r="Y19" s="300"/>
    </row>
    <row r="20" spans="1:25">
      <c r="A20" s="343" t="s">
        <v>62</v>
      </c>
      <c r="B20" s="293" t="s">
        <v>47</v>
      </c>
      <c r="C20" s="294">
        <v>88</v>
      </c>
      <c r="D20" s="295">
        <v>74</v>
      </c>
      <c r="E20" s="295">
        <v>55</v>
      </c>
      <c r="F20" s="296">
        <v>39</v>
      </c>
      <c r="G20" s="638"/>
      <c r="J20" s="303">
        <v>23</v>
      </c>
      <c r="K20" s="304">
        <f t="shared" si="0"/>
        <v>287500</v>
      </c>
      <c r="M20" s="299" t="s">
        <v>62</v>
      </c>
      <c r="N20" s="404">
        <v>90</v>
      </c>
      <c r="O20" s="404">
        <v>63</v>
      </c>
      <c r="P20" s="404">
        <v>45</v>
      </c>
      <c r="Q20" s="405">
        <v>105</v>
      </c>
      <c r="R20" s="401"/>
      <c r="S20" s="401"/>
      <c r="T20" s="386"/>
      <c r="U20" s="401"/>
      <c r="V20" s="401"/>
      <c r="W20" s="386"/>
      <c r="X20" s="386"/>
      <c r="Y20" s="300"/>
    </row>
    <row r="21" spans="1:25" ht="16.5" thickBot="1">
      <c r="A21" s="343" t="s">
        <v>74</v>
      </c>
      <c r="B21" s="293" t="s">
        <v>28</v>
      </c>
      <c r="C21" s="294">
        <v>294</v>
      </c>
      <c r="D21" s="295">
        <v>241</v>
      </c>
      <c r="E21" s="295">
        <v>190</v>
      </c>
      <c r="F21" s="296">
        <v>157</v>
      </c>
      <c r="G21" s="638"/>
      <c r="J21" s="513">
        <v>24</v>
      </c>
      <c r="K21" s="514">
        <f t="shared" si="0"/>
        <v>300000</v>
      </c>
      <c r="M21" s="299" t="s">
        <v>74</v>
      </c>
      <c r="N21" s="404">
        <v>125</v>
      </c>
      <c r="O21" s="404">
        <v>88</v>
      </c>
      <c r="P21" s="404">
        <v>63</v>
      </c>
      <c r="Q21" s="405">
        <v>168</v>
      </c>
      <c r="R21" s="401"/>
      <c r="S21" s="401"/>
      <c r="T21" s="386"/>
      <c r="U21" s="401"/>
      <c r="V21" s="401"/>
      <c r="W21" s="386"/>
      <c r="X21" s="386"/>
      <c r="Y21" s="300"/>
    </row>
    <row r="22" spans="1:25">
      <c r="A22" s="343" t="s">
        <v>63</v>
      </c>
      <c r="B22" s="293" t="s">
        <v>16</v>
      </c>
      <c r="C22" s="294">
        <v>88</v>
      </c>
      <c r="D22" s="295">
        <v>74</v>
      </c>
      <c r="E22" s="295">
        <v>55</v>
      </c>
      <c r="F22" s="296">
        <v>39</v>
      </c>
      <c r="G22" s="638"/>
      <c r="M22" s="299" t="s">
        <v>63</v>
      </c>
      <c r="N22" s="404">
        <v>90</v>
      </c>
      <c r="O22" s="404">
        <v>63</v>
      </c>
      <c r="P22" s="404">
        <v>45</v>
      </c>
      <c r="Q22" s="405">
        <v>105</v>
      </c>
      <c r="R22" s="401"/>
      <c r="S22" s="401"/>
      <c r="T22" s="386"/>
      <c r="U22" s="401"/>
      <c r="V22" s="401"/>
      <c r="W22" s="386"/>
      <c r="X22" s="386"/>
      <c r="Y22" s="300"/>
    </row>
    <row r="23" spans="1:25">
      <c r="A23" s="343" t="s">
        <v>64</v>
      </c>
      <c r="B23" s="293" t="s">
        <v>17</v>
      </c>
      <c r="C23" s="294">
        <v>294</v>
      </c>
      <c r="D23" s="295">
        <v>241</v>
      </c>
      <c r="E23" s="295">
        <v>190</v>
      </c>
      <c r="F23" s="296">
        <v>157</v>
      </c>
      <c r="G23" s="638"/>
      <c r="M23" s="299" t="s">
        <v>87</v>
      </c>
      <c r="N23" s="404">
        <v>125</v>
      </c>
      <c r="O23" s="404">
        <v>88</v>
      </c>
      <c r="P23" s="404">
        <v>63</v>
      </c>
      <c r="Q23" s="405">
        <v>168</v>
      </c>
      <c r="R23" s="401"/>
      <c r="S23" s="401"/>
      <c r="T23" s="386"/>
      <c r="U23" s="401"/>
      <c r="V23" s="401"/>
      <c r="W23" s="386"/>
      <c r="X23" s="386"/>
      <c r="Y23" s="411"/>
    </row>
    <row r="24" spans="1:25" ht="16.5">
      <c r="A24" s="343" t="s">
        <v>82</v>
      </c>
      <c r="B24" s="305" t="s">
        <v>78</v>
      </c>
      <c r="C24" s="294">
        <v>88</v>
      </c>
      <c r="D24" s="295">
        <v>74</v>
      </c>
      <c r="E24" s="295">
        <v>55</v>
      </c>
      <c r="F24" s="296">
        <v>39</v>
      </c>
      <c r="G24" s="638"/>
      <c r="M24" s="299" t="s">
        <v>82</v>
      </c>
      <c r="N24" s="404">
        <v>90</v>
      </c>
      <c r="O24" s="404">
        <v>63</v>
      </c>
      <c r="P24" s="404">
        <v>45</v>
      </c>
      <c r="Q24" s="405">
        <v>105</v>
      </c>
      <c r="R24" s="401"/>
      <c r="S24" s="401"/>
      <c r="T24" s="386"/>
      <c r="U24" s="401"/>
      <c r="V24" s="401"/>
      <c r="W24" s="386"/>
      <c r="X24" s="386"/>
      <c r="Y24" s="411"/>
    </row>
    <row r="25" spans="1:25">
      <c r="A25" s="343" t="s">
        <v>65</v>
      </c>
      <c r="B25" s="293" t="s">
        <v>18</v>
      </c>
      <c r="C25" s="294">
        <v>88</v>
      </c>
      <c r="D25" s="295">
        <v>74</v>
      </c>
      <c r="E25" s="295">
        <v>55</v>
      </c>
      <c r="F25" s="296">
        <v>39</v>
      </c>
      <c r="G25" s="638"/>
      <c r="M25" s="299" t="s">
        <v>65</v>
      </c>
      <c r="N25" s="404">
        <v>90</v>
      </c>
      <c r="O25" s="404">
        <v>63</v>
      </c>
      <c r="P25" s="404">
        <v>45</v>
      </c>
      <c r="Q25" s="405">
        <v>105</v>
      </c>
      <c r="R25" s="401"/>
      <c r="S25" s="401"/>
      <c r="T25" s="386"/>
      <c r="U25" s="401"/>
      <c r="V25" s="401"/>
      <c r="W25" s="386"/>
      <c r="X25" s="386"/>
      <c r="Y25" s="411"/>
    </row>
    <row r="26" spans="1:25">
      <c r="A26" s="343" t="s">
        <v>83</v>
      </c>
      <c r="B26" s="293" t="s">
        <v>19</v>
      </c>
      <c r="C26" s="294">
        <v>164</v>
      </c>
      <c r="D26" s="295">
        <v>137</v>
      </c>
      <c r="E26" s="295">
        <v>102</v>
      </c>
      <c r="F26" s="296">
        <v>78</v>
      </c>
      <c r="G26" s="638"/>
      <c r="M26" s="299" t="s">
        <v>83</v>
      </c>
      <c r="N26" s="404">
        <v>110</v>
      </c>
      <c r="O26" s="404">
        <v>77</v>
      </c>
      <c r="P26" s="404">
        <v>55</v>
      </c>
      <c r="Q26" s="405">
        <v>147</v>
      </c>
      <c r="R26" s="401"/>
      <c r="S26" s="401"/>
      <c r="T26" s="386"/>
      <c r="U26" s="401"/>
      <c r="V26" s="401"/>
      <c r="W26" s="386"/>
      <c r="X26" s="386"/>
      <c r="Y26" s="411"/>
    </row>
    <row r="27" spans="1:25">
      <c r="A27" s="343" t="s">
        <v>55</v>
      </c>
      <c r="B27" s="293" t="s">
        <v>10</v>
      </c>
      <c r="C27" s="294">
        <v>280</v>
      </c>
      <c r="D27" s="295">
        <v>214</v>
      </c>
      <c r="E27" s="295">
        <v>162</v>
      </c>
      <c r="F27" s="296">
        <v>131</v>
      </c>
      <c r="G27" s="638"/>
      <c r="M27" s="299" t="s">
        <v>55</v>
      </c>
      <c r="N27" s="404">
        <v>110</v>
      </c>
      <c r="O27" s="404">
        <v>77</v>
      </c>
      <c r="P27" s="404">
        <v>55</v>
      </c>
      <c r="Q27" s="405">
        <v>147</v>
      </c>
      <c r="R27" s="401"/>
      <c r="S27" s="401"/>
      <c r="T27" s="386"/>
      <c r="U27" s="401"/>
      <c r="V27" s="401"/>
      <c r="W27" s="386"/>
      <c r="X27" s="386"/>
      <c r="Y27" s="411"/>
    </row>
    <row r="28" spans="1:25">
      <c r="A28" s="343" t="s">
        <v>75</v>
      </c>
      <c r="B28" s="293" t="s">
        <v>29</v>
      </c>
      <c r="C28" s="294">
        <v>294</v>
      </c>
      <c r="D28" s="295">
        <v>241</v>
      </c>
      <c r="E28" s="295">
        <v>190</v>
      </c>
      <c r="F28" s="296">
        <v>157</v>
      </c>
      <c r="G28" s="638"/>
      <c r="M28" s="299" t="s">
        <v>75</v>
      </c>
      <c r="N28" s="404">
        <v>125</v>
      </c>
      <c r="O28" s="404">
        <v>88</v>
      </c>
      <c r="P28" s="404">
        <v>63</v>
      </c>
      <c r="Q28" s="405">
        <v>168</v>
      </c>
      <c r="R28" s="401"/>
      <c r="S28" s="401"/>
      <c r="T28" s="386"/>
      <c r="U28" s="401"/>
      <c r="V28" s="401"/>
      <c r="W28" s="386"/>
      <c r="X28" s="386"/>
      <c r="Y28" s="411"/>
    </row>
    <row r="29" spans="1:25">
      <c r="A29" s="343" t="s">
        <v>60</v>
      </c>
      <c r="B29" s="293" t="s">
        <v>15</v>
      </c>
      <c r="C29" s="294">
        <v>280</v>
      </c>
      <c r="D29" s="295">
        <v>214</v>
      </c>
      <c r="E29" s="295">
        <v>162</v>
      </c>
      <c r="F29" s="296">
        <v>131</v>
      </c>
      <c r="G29" s="638"/>
      <c r="M29" s="299" t="s">
        <v>60</v>
      </c>
      <c r="N29" s="404">
        <v>110</v>
      </c>
      <c r="O29" s="404">
        <v>77</v>
      </c>
      <c r="P29" s="404">
        <v>55</v>
      </c>
      <c r="Q29" s="405">
        <v>147</v>
      </c>
      <c r="R29" s="401"/>
      <c r="S29" s="401"/>
      <c r="T29" s="386"/>
      <c r="U29" s="401"/>
      <c r="V29" s="401"/>
      <c r="W29" s="386"/>
      <c r="X29" s="386"/>
      <c r="Y29" s="386"/>
    </row>
    <row r="30" spans="1:25">
      <c r="A30" s="343" t="s">
        <v>80</v>
      </c>
      <c r="B30" s="293" t="s">
        <v>22</v>
      </c>
      <c r="C30" s="294">
        <v>164</v>
      </c>
      <c r="D30" s="295">
        <v>137</v>
      </c>
      <c r="E30" s="295">
        <v>102</v>
      </c>
      <c r="F30" s="296">
        <v>78</v>
      </c>
      <c r="G30" s="638"/>
      <c r="M30" s="299" t="s">
        <v>80</v>
      </c>
      <c r="N30" s="404">
        <v>110</v>
      </c>
      <c r="O30" s="404">
        <v>77</v>
      </c>
      <c r="P30" s="404">
        <v>55</v>
      </c>
      <c r="Q30" s="405">
        <v>147</v>
      </c>
      <c r="R30" s="401"/>
      <c r="S30" s="401"/>
      <c r="T30" s="386"/>
      <c r="U30" s="401"/>
      <c r="V30" s="401"/>
      <c r="W30" s="386"/>
      <c r="X30" s="386"/>
      <c r="Y30" s="386"/>
    </row>
    <row r="31" spans="1:25">
      <c r="A31" s="343" t="s">
        <v>81</v>
      </c>
      <c r="B31" s="293" t="s">
        <v>31</v>
      </c>
      <c r="C31" s="294">
        <v>88</v>
      </c>
      <c r="D31" s="295">
        <v>74</v>
      </c>
      <c r="E31" s="295">
        <v>55</v>
      </c>
      <c r="F31" s="296">
        <v>39</v>
      </c>
      <c r="G31" s="638"/>
      <c r="M31" s="299" t="s">
        <v>81</v>
      </c>
      <c r="N31" s="404">
        <v>90</v>
      </c>
      <c r="O31" s="404">
        <v>63</v>
      </c>
      <c r="P31" s="404">
        <v>45</v>
      </c>
      <c r="Q31" s="405">
        <v>105</v>
      </c>
      <c r="R31" s="401"/>
      <c r="S31" s="401"/>
      <c r="T31" s="386"/>
      <c r="U31" s="401"/>
      <c r="V31" s="401"/>
      <c r="W31" s="386"/>
      <c r="X31" s="386"/>
      <c r="Y31" s="386"/>
    </row>
    <row r="32" spans="1:25">
      <c r="A32" s="343" t="s">
        <v>58</v>
      </c>
      <c r="B32" s="293" t="s">
        <v>12</v>
      </c>
      <c r="C32" s="294">
        <v>164</v>
      </c>
      <c r="D32" s="295">
        <v>137</v>
      </c>
      <c r="E32" s="295">
        <v>102</v>
      </c>
      <c r="F32" s="296">
        <v>78</v>
      </c>
      <c r="G32" s="638"/>
      <c r="M32" s="299" t="s">
        <v>58</v>
      </c>
      <c r="N32" s="404">
        <v>110</v>
      </c>
      <c r="O32" s="404">
        <v>77</v>
      </c>
      <c r="P32" s="404">
        <v>55</v>
      </c>
      <c r="Q32" s="405">
        <v>147</v>
      </c>
      <c r="R32" s="401"/>
      <c r="S32" s="401"/>
      <c r="T32" s="386"/>
      <c r="U32" s="401"/>
      <c r="V32" s="401"/>
      <c r="W32" s="386"/>
      <c r="X32" s="386"/>
      <c r="Y32" s="386"/>
    </row>
    <row r="33" spans="1:25">
      <c r="A33" s="343" t="s">
        <v>72</v>
      </c>
      <c r="B33" s="293" t="s">
        <v>26</v>
      </c>
      <c r="C33" s="294">
        <v>294</v>
      </c>
      <c r="D33" s="295">
        <v>241</v>
      </c>
      <c r="E33" s="295">
        <v>190</v>
      </c>
      <c r="F33" s="296">
        <v>157</v>
      </c>
      <c r="G33" s="638"/>
      <c r="M33" s="299" t="s">
        <v>72</v>
      </c>
      <c r="N33" s="404">
        <v>125</v>
      </c>
      <c r="O33" s="404">
        <v>88</v>
      </c>
      <c r="P33" s="404">
        <v>63</v>
      </c>
      <c r="Q33" s="405">
        <v>168</v>
      </c>
      <c r="R33" s="401"/>
      <c r="S33" s="401"/>
      <c r="T33" s="386"/>
      <c r="U33" s="401"/>
      <c r="V33" s="401"/>
      <c r="W33" s="386"/>
      <c r="X33" s="386"/>
      <c r="Y33" s="386"/>
    </row>
    <row r="34" spans="1:25">
      <c r="A34" s="343" t="s">
        <v>70</v>
      </c>
      <c r="B34" s="293" t="s">
        <v>24</v>
      </c>
      <c r="C34" s="294">
        <v>88</v>
      </c>
      <c r="D34" s="295">
        <v>74</v>
      </c>
      <c r="E34" s="295">
        <v>55</v>
      </c>
      <c r="F34" s="296">
        <v>39</v>
      </c>
      <c r="G34" s="638"/>
      <c r="M34" s="299" t="s">
        <v>70</v>
      </c>
      <c r="N34" s="404">
        <v>90</v>
      </c>
      <c r="O34" s="404">
        <v>63</v>
      </c>
      <c r="P34" s="404">
        <v>45</v>
      </c>
      <c r="Q34" s="405">
        <v>105</v>
      </c>
      <c r="R34" s="401"/>
      <c r="S34" s="401"/>
      <c r="T34" s="386"/>
      <c r="U34" s="401"/>
      <c r="V34" s="401"/>
      <c r="W34" s="386"/>
      <c r="X34" s="386"/>
      <c r="Y34" s="386"/>
    </row>
    <row r="35" spans="1:25">
      <c r="A35" s="343" t="s">
        <v>69</v>
      </c>
      <c r="B35" s="293" t="s">
        <v>23</v>
      </c>
      <c r="C35" s="294">
        <v>164</v>
      </c>
      <c r="D35" s="295">
        <v>137</v>
      </c>
      <c r="E35" s="295">
        <v>102</v>
      </c>
      <c r="F35" s="296">
        <v>78</v>
      </c>
      <c r="G35" s="638"/>
      <c r="M35" s="299" t="s">
        <v>69</v>
      </c>
      <c r="N35" s="404">
        <v>90</v>
      </c>
      <c r="O35" s="404">
        <v>63</v>
      </c>
      <c r="P35" s="404">
        <v>45</v>
      </c>
      <c r="Q35" s="405">
        <v>105</v>
      </c>
      <c r="R35" s="401"/>
      <c r="S35" s="401"/>
      <c r="T35" s="386"/>
      <c r="U35" s="401"/>
      <c r="V35" s="401"/>
      <c r="W35" s="386"/>
      <c r="X35" s="386"/>
      <c r="Y35" s="386"/>
    </row>
    <row r="36" spans="1:25" ht="16.5" thickBot="1">
      <c r="A36" s="344" t="s">
        <v>77</v>
      </c>
      <c r="B36" s="306" t="s">
        <v>42</v>
      </c>
      <c r="C36" s="307">
        <v>88</v>
      </c>
      <c r="D36" s="308">
        <v>74</v>
      </c>
      <c r="E36" s="308">
        <v>55</v>
      </c>
      <c r="F36" s="309">
        <v>39</v>
      </c>
      <c r="G36" s="639"/>
      <c r="M36" s="310" t="s">
        <v>77</v>
      </c>
      <c r="N36" s="412">
        <v>90</v>
      </c>
      <c r="O36" s="412">
        <v>63</v>
      </c>
      <c r="P36" s="412">
        <v>45</v>
      </c>
      <c r="Q36" s="400">
        <v>105</v>
      </c>
      <c r="R36" s="401"/>
      <c r="S36" s="401"/>
      <c r="T36" s="386"/>
      <c r="U36" s="401"/>
      <c r="V36" s="401"/>
      <c r="W36" s="386"/>
      <c r="X36" s="386"/>
      <c r="Y36" s="386"/>
    </row>
    <row r="37" spans="1:25">
      <c r="A37" s="345" t="s">
        <v>96</v>
      </c>
      <c r="B37" s="311"/>
      <c r="C37" s="327">
        <v>88</v>
      </c>
      <c r="D37" s="328">
        <v>74</v>
      </c>
      <c r="E37" s="328">
        <v>55</v>
      </c>
      <c r="F37" s="329">
        <v>39</v>
      </c>
      <c r="G37" s="640" t="s">
        <v>91</v>
      </c>
      <c r="X37" s="386"/>
      <c r="Y37" s="386"/>
    </row>
    <row r="38" spans="1:25">
      <c r="A38" s="346" t="s">
        <v>167</v>
      </c>
      <c r="B38" s="350"/>
      <c r="C38" s="353">
        <v>88</v>
      </c>
      <c r="D38" s="354">
        <v>74</v>
      </c>
      <c r="E38" s="354">
        <v>55</v>
      </c>
      <c r="F38" s="355">
        <v>39</v>
      </c>
      <c r="G38" s="641"/>
      <c r="J38" s="1" t="s">
        <v>143</v>
      </c>
      <c r="P38" s="1" t="s">
        <v>419</v>
      </c>
    </row>
    <row r="39" spans="1:25">
      <c r="A39" s="346" t="s">
        <v>168</v>
      </c>
      <c r="B39" s="349"/>
      <c r="C39" s="352">
        <v>88</v>
      </c>
      <c r="D39" s="354">
        <v>74</v>
      </c>
      <c r="E39" s="354">
        <v>55</v>
      </c>
      <c r="F39" s="355">
        <v>39</v>
      </c>
      <c r="G39" s="641"/>
      <c r="I39" s="272" t="s">
        <v>410</v>
      </c>
      <c r="J39" s="315" t="s">
        <v>404</v>
      </c>
      <c r="K39" s="313"/>
      <c r="L39" s="313"/>
      <c r="M39" s="313"/>
      <c r="N39" s="313"/>
      <c r="O39" s="313"/>
      <c r="P39" s="314" t="s">
        <v>404</v>
      </c>
      <c r="Q39" s="313"/>
    </row>
    <row r="40" spans="1:25" ht="15.75" customHeight="1">
      <c r="A40" s="345" t="s">
        <v>94</v>
      </c>
      <c r="B40" s="311"/>
      <c r="C40" s="327">
        <v>280</v>
      </c>
      <c r="D40" s="328">
        <v>214</v>
      </c>
      <c r="E40" s="328">
        <v>162</v>
      </c>
      <c r="F40" s="329">
        <v>131</v>
      </c>
      <c r="G40" s="641"/>
      <c r="I40" s="319" t="s">
        <v>410</v>
      </c>
      <c r="J40" s="224" t="s">
        <v>432</v>
      </c>
      <c r="K40" s="317"/>
      <c r="L40" s="316"/>
      <c r="M40" s="316"/>
      <c r="N40" s="316"/>
      <c r="O40" s="317" t="s">
        <v>405</v>
      </c>
      <c r="P40" s="318" t="s">
        <v>325</v>
      </c>
      <c r="Q40" s="317"/>
    </row>
    <row r="41" spans="1:25">
      <c r="A41" s="345" t="s">
        <v>169</v>
      </c>
      <c r="B41" s="311"/>
      <c r="C41" s="327">
        <v>88</v>
      </c>
      <c r="D41" s="328">
        <v>74</v>
      </c>
      <c r="E41" s="328">
        <v>55</v>
      </c>
      <c r="F41" s="329">
        <v>39</v>
      </c>
      <c r="G41" s="641"/>
      <c r="I41" s="321" t="s">
        <v>410</v>
      </c>
      <c r="J41" s="223" t="s">
        <v>417</v>
      </c>
      <c r="K41" s="226"/>
      <c r="L41" s="320"/>
      <c r="M41" s="320"/>
      <c r="N41" s="320"/>
      <c r="O41" s="226"/>
      <c r="P41" s="320" t="s">
        <v>412</v>
      </c>
      <c r="Q41" s="226"/>
    </row>
    <row r="42" spans="1:25" ht="15" customHeight="1">
      <c r="A42" s="345" t="s">
        <v>170</v>
      </c>
      <c r="B42" s="311"/>
      <c r="C42" s="327">
        <v>88</v>
      </c>
      <c r="D42" s="328">
        <v>74</v>
      </c>
      <c r="E42" s="328">
        <v>55</v>
      </c>
      <c r="F42" s="329">
        <v>39</v>
      </c>
      <c r="G42" s="641"/>
      <c r="I42" s="324" t="s">
        <v>410</v>
      </c>
      <c r="J42" s="226" t="s">
        <v>479</v>
      </c>
      <c r="K42" s="226"/>
      <c r="L42" s="325"/>
      <c r="M42" s="325"/>
      <c r="N42" s="325"/>
      <c r="O42" s="226" t="s">
        <v>405</v>
      </c>
      <c r="P42" s="325" t="s">
        <v>325</v>
      </c>
      <c r="Q42" s="226"/>
    </row>
    <row r="43" spans="1:25" ht="15" customHeight="1">
      <c r="A43" s="345" t="s">
        <v>171</v>
      </c>
      <c r="B43" s="311"/>
      <c r="C43" s="327">
        <v>88</v>
      </c>
      <c r="D43" s="328">
        <v>74</v>
      </c>
      <c r="E43" s="328">
        <v>55</v>
      </c>
      <c r="F43" s="329">
        <v>39</v>
      </c>
      <c r="G43" s="641"/>
      <c r="I43" s="319" t="s">
        <v>26</v>
      </c>
      <c r="J43" s="224" t="s">
        <v>413</v>
      </c>
      <c r="K43" s="317"/>
      <c r="L43" s="316"/>
      <c r="M43" s="316"/>
      <c r="N43" s="316"/>
      <c r="O43" s="317" t="s">
        <v>405</v>
      </c>
      <c r="P43" s="318" t="s">
        <v>325</v>
      </c>
      <c r="Q43" s="317"/>
    </row>
    <row r="44" spans="1:25" ht="15" customHeight="1">
      <c r="A44" s="345" t="s">
        <v>172</v>
      </c>
      <c r="B44" s="311"/>
      <c r="C44" s="327">
        <v>88</v>
      </c>
      <c r="D44" s="328">
        <v>74</v>
      </c>
      <c r="E44" s="328">
        <v>55</v>
      </c>
      <c r="F44" s="329">
        <v>39</v>
      </c>
      <c r="G44" s="641"/>
      <c r="I44" s="321" t="s">
        <v>26</v>
      </c>
      <c r="J44" s="226" t="s">
        <v>479</v>
      </c>
      <c r="K44" s="226"/>
      <c r="L44" s="325"/>
      <c r="M44" s="325"/>
      <c r="N44" s="325"/>
      <c r="O44" s="226" t="s">
        <v>405</v>
      </c>
      <c r="P44" s="325" t="s">
        <v>325</v>
      </c>
      <c r="Q44" s="226"/>
    </row>
    <row r="45" spans="1:25" ht="15" customHeight="1">
      <c r="A45" s="345" t="s">
        <v>103</v>
      </c>
      <c r="B45" s="348"/>
      <c r="C45" s="312">
        <v>294</v>
      </c>
      <c r="D45" s="295">
        <v>241</v>
      </c>
      <c r="E45" s="295">
        <v>190</v>
      </c>
      <c r="F45" s="296">
        <v>157</v>
      </c>
      <c r="G45" s="641"/>
      <c r="I45" s="321" t="s">
        <v>26</v>
      </c>
      <c r="J45" s="226" t="s">
        <v>434</v>
      </c>
      <c r="K45" s="226"/>
      <c r="L45" s="326"/>
      <c r="M45" s="326"/>
      <c r="N45" s="326"/>
      <c r="O45" s="226" t="s">
        <v>405</v>
      </c>
      <c r="P45" s="326" t="s">
        <v>406</v>
      </c>
      <c r="Q45" s="226"/>
    </row>
    <row r="46" spans="1:25" ht="15" customHeight="1">
      <c r="A46" s="345" t="s">
        <v>173</v>
      </c>
      <c r="B46" s="311"/>
      <c r="C46" s="327">
        <v>88</v>
      </c>
      <c r="D46" s="328">
        <v>74</v>
      </c>
      <c r="E46" s="328">
        <v>55</v>
      </c>
      <c r="F46" s="329">
        <v>39</v>
      </c>
      <c r="G46" s="641"/>
      <c r="I46" s="321" t="s">
        <v>26</v>
      </c>
      <c r="J46" s="223" t="s">
        <v>417</v>
      </c>
      <c r="K46" s="226"/>
      <c r="L46" s="320"/>
      <c r="M46" s="320"/>
      <c r="N46" s="320"/>
      <c r="O46" s="226"/>
      <c r="P46" s="320" t="s">
        <v>412</v>
      </c>
      <c r="Q46" s="226"/>
    </row>
    <row r="47" spans="1:25" ht="15" customHeight="1">
      <c r="A47" s="345" t="s">
        <v>95</v>
      </c>
      <c r="B47" s="311"/>
      <c r="C47" s="327">
        <v>164</v>
      </c>
      <c r="D47" s="328">
        <v>137</v>
      </c>
      <c r="E47" s="328">
        <v>102</v>
      </c>
      <c r="F47" s="329">
        <v>78</v>
      </c>
      <c r="G47" s="641"/>
      <c r="I47" s="324" t="s">
        <v>26</v>
      </c>
      <c r="J47" s="225" t="s">
        <v>433</v>
      </c>
      <c r="K47" s="323"/>
      <c r="L47" s="322"/>
      <c r="M47" s="322"/>
      <c r="N47" s="322"/>
      <c r="O47" s="323"/>
      <c r="P47" s="322" t="s">
        <v>404</v>
      </c>
      <c r="Q47" s="323"/>
    </row>
    <row r="48" spans="1:25" ht="15" customHeight="1">
      <c r="A48" s="345" t="s">
        <v>159</v>
      </c>
      <c r="B48" s="311"/>
      <c r="C48" s="327">
        <v>164</v>
      </c>
      <c r="D48" s="328">
        <v>137</v>
      </c>
      <c r="E48" s="328">
        <v>102</v>
      </c>
      <c r="F48" s="329">
        <v>78</v>
      </c>
      <c r="G48" s="641"/>
      <c r="I48" s="319" t="s">
        <v>411</v>
      </c>
      <c r="J48" s="224" t="s">
        <v>435</v>
      </c>
      <c r="K48" s="317"/>
      <c r="L48" s="316"/>
      <c r="M48" s="316"/>
      <c r="N48" s="316"/>
      <c r="O48" s="317" t="s">
        <v>405</v>
      </c>
      <c r="P48" s="316" t="s">
        <v>325</v>
      </c>
      <c r="Q48" s="317"/>
    </row>
    <row r="49" spans="1:18" ht="15" customHeight="1">
      <c r="A49" s="345" t="s">
        <v>174</v>
      </c>
      <c r="B49" s="311"/>
      <c r="C49" s="327">
        <v>88</v>
      </c>
      <c r="D49" s="328">
        <v>74</v>
      </c>
      <c r="E49" s="328">
        <v>55</v>
      </c>
      <c r="F49" s="329">
        <v>39</v>
      </c>
      <c r="G49" s="641"/>
      <c r="I49" s="321" t="s">
        <v>411</v>
      </c>
      <c r="J49" s="226" t="s">
        <v>407</v>
      </c>
      <c r="K49" s="226"/>
      <c r="L49" s="320"/>
      <c r="M49" s="320"/>
      <c r="N49" s="320"/>
      <c r="O49" s="226"/>
      <c r="P49" s="320" t="s">
        <v>412</v>
      </c>
      <c r="Q49" s="226"/>
    </row>
    <row r="50" spans="1:18" ht="15" customHeight="1">
      <c r="A50" s="345" t="s">
        <v>175</v>
      </c>
      <c r="B50" s="311"/>
      <c r="C50" s="327">
        <v>88</v>
      </c>
      <c r="D50" s="328">
        <v>74</v>
      </c>
      <c r="E50" s="328">
        <v>55</v>
      </c>
      <c r="F50" s="329">
        <v>39</v>
      </c>
      <c r="G50" s="641"/>
      <c r="I50" s="324" t="s">
        <v>411</v>
      </c>
      <c r="J50" s="225" t="s">
        <v>433</v>
      </c>
      <c r="K50" s="323"/>
      <c r="L50" s="322"/>
      <c r="M50" s="322"/>
      <c r="N50" s="322"/>
      <c r="O50" s="323"/>
      <c r="P50" s="322" t="s">
        <v>404</v>
      </c>
      <c r="Q50" s="323"/>
      <c r="R50" s="273"/>
    </row>
    <row r="51" spans="1:18" ht="15" customHeight="1">
      <c r="A51" s="345" t="s">
        <v>177</v>
      </c>
      <c r="B51" s="311"/>
      <c r="C51" s="327">
        <v>88</v>
      </c>
      <c r="D51" s="328">
        <v>74</v>
      </c>
      <c r="E51" s="328">
        <v>55</v>
      </c>
      <c r="F51" s="329">
        <v>39</v>
      </c>
      <c r="G51" s="641"/>
      <c r="I51" s="319" t="s">
        <v>408</v>
      </c>
      <c r="J51" s="224" t="s">
        <v>436</v>
      </c>
      <c r="K51" s="317"/>
      <c r="L51" s="316"/>
      <c r="M51" s="316"/>
      <c r="N51" s="316"/>
      <c r="O51" s="317" t="s">
        <v>405</v>
      </c>
      <c r="P51" s="316" t="s">
        <v>325</v>
      </c>
      <c r="Q51" s="317"/>
      <c r="R51" s="273"/>
    </row>
    <row r="52" spans="1:18" ht="15" customHeight="1">
      <c r="A52" s="345" t="s">
        <v>178</v>
      </c>
      <c r="B52" s="311"/>
      <c r="C52" s="327">
        <v>88</v>
      </c>
      <c r="D52" s="328">
        <v>74</v>
      </c>
      <c r="E52" s="328">
        <v>55</v>
      </c>
      <c r="F52" s="329">
        <v>39</v>
      </c>
      <c r="G52" s="641"/>
      <c r="I52" s="321" t="s">
        <v>408</v>
      </c>
      <c r="J52" s="223" t="s">
        <v>417</v>
      </c>
      <c r="K52" s="226"/>
      <c r="L52" s="320"/>
      <c r="M52" s="320"/>
      <c r="N52" s="320"/>
      <c r="O52" s="226"/>
      <c r="P52" s="320" t="s">
        <v>412</v>
      </c>
      <c r="Q52" s="226"/>
      <c r="R52" s="273"/>
    </row>
    <row r="53" spans="1:18" ht="15" customHeight="1">
      <c r="A53" s="345" t="s">
        <v>179</v>
      </c>
      <c r="B53" s="311"/>
      <c r="C53" s="327">
        <v>88</v>
      </c>
      <c r="D53" s="328">
        <v>74</v>
      </c>
      <c r="E53" s="328">
        <v>55</v>
      </c>
      <c r="F53" s="329">
        <v>39</v>
      </c>
      <c r="G53" s="641"/>
      <c r="I53" s="324" t="s">
        <v>408</v>
      </c>
      <c r="J53" s="225" t="s">
        <v>433</v>
      </c>
      <c r="K53" s="323"/>
      <c r="L53" s="322"/>
      <c r="M53" s="322"/>
      <c r="N53" s="322"/>
      <c r="O53" s="323"/>
      <c r="P53" s="322" t="s">
        <v>404</v>
      </c>
      <c r="Q53" s="323"/>
      <c r="R53" s="273"/>
    </row>
    <row r="54" spans="1:18" ht="15" customHeight="1">
      <c r="A54" s="345" t="s">
        <v>180</v>
      </c>
      <c r="B54" s="311"/>
      <c r="C54" s="327">
        <v>88</v>
      </c>
      <c r="D54" s="328">
        <v>74</v>
      </c>
      <c r="E54" s="328">
        <v>55</v>
      </c>
      <c r="F54" s="329">
        <v>39</v>
      </c>
      <c r="G54" s="641"/>
      <c r="I54" s="319" t="s">
        <v>409</v>
      </c>
      <c r="J54" s="415" t="s">
        <v>437</v>
      </c>
      <c r="K54" s="317"/>
      <c r="L54" s="316"/>
      <c r="M54" s="316"/>
      <c r="N54" s="316"/>
      <c r="O54" s="317"/>
      <c r="P54" s="316" t="s">
        <v>325</v>
      </c>
      <c r="Q54" s="317"/>
      <c r="R54" s="273"/>
    </row>
    <row r="55" spans="1:18" ht="15" customHeight="1">
      <c r="A55" s="345" t="s">
        <v>181</v>
      </c>
      <c r="B55" s="311"/>
      <c r="C55" s="327">
        <v>88</v>
      </c>
      <c r="D55" s="328">
        <v>74</v>
      </c>
      <c r="E55" s="328">
        <v>55</v>
      </c>
      <c r="F55" s="329">
        <v>39</v>
      </c>
      <c r="G55" s="641"/>
      <c r="I55" s="321" t="s">
        <v>409</v>
      </c>
      <c r="J55" s="223" t="s">
        <v>417</v>
      </c>
      <c r="K55" s="226"/>
      <c r="L55" s="320"/>
      <c r="M55" s="320"/>
      <c r="N55" s="320"/>
      <c r="O55" s="226"/>
      <c r="P55" s="320" t="s">
        <v>412</v>
      </c>
      <c r="Q55" s="226"/>
      <c r="R55" s="273"/>
    </row>
    <row r="56" spans="1:18" ht="15" customHeight="1">
      <c r="A56" s="345" t="s">
        <v>182</v>
      </c>
      <c r="B56" s="311"/>
      <c r="C56" s="327">
        <v>88</v>
      </c>
      <c r="D56" s="328">
        <v>74</v>
      </c>
      <c r="E56" s="328">
        <v>55</v>
      </c>
      <c r="F56" s="329">
        <v>39</v>
      </c>
      <c r="G56" s="641"/>
      <c r="I56" s="321" t="s">
        <v>409</v>
      </c>
      <c r="J56" s="226" t="s">
        <v>469</v>
      </c>
      <c r="K56" s="226"/>
      <c r="L56" s="330"/>
      <c r="M56" s="330"/>
      <c r="N56" s="330"/>
      <c r="O56" s="226"/>
      <c r="P56" s="330" t="s">
        <v>325</v>
      </c>
      <c r="Q56" s="226"/>
      <c r="R56" s="273"/>
    </row>
    <row r="57" spans="1:18" ht="15" customHeight="1">
      <c r="A57" s="345" t="s">
        <v>183</v>
      </c>
      <c r="B57" s="311"/>
      <c r="C57" s="327">
        <v>88</v>
      </c>
      <c r="D57" s="328">
        <v>74</v>
      </c>
      <c r="E57" s="328">
        <v>55</v>
      </c>
      <c r="F57" s="329">
        <v>39</v>
      </c>
      <c r="G57" s="641"/>
      <c r="I57" s="321" t="s">
        <v>409</v>
      </c>
      <c r="J57" s="226" t="s">
        <v>415</v>
      </c>
      <c r="K57" s="226"/>
      <c r="L57" s="330"/>
      <c r="M57" s="330"/>
      <c r="N57" s="330"/>
      <c r="O57" s="226"/>
      <c r="P57" s="330" t="s">
        <v>112</v>
      </c>
      <c r="Q57" s="226"/>
      <c r="R57" s="273"/>
    </row>
    <row r="58" spans="1:18" ht="15" customHeight="1">
      <c r="A58" s="345" t="s">
        <v>184</v>
      </c>
      <c r="B58" s="311"/>
      <c r="C58" s="327">
        <v>88</v>
      </c>
      <c r="D58" s="328">
        <v>74</v>
      </c>
      <c r="E58" s="328">
        <v>55</v>
      </c>
      <c r="F58" s="329">
        <v>39</v>
      </c>
      <c r="G58" s="641"/>
      <c r="I58" s="321" t="s">
        <v>409</v>
      </c>
      <c r="J58" s="226" t="s">
        <v>416</v>
      </c>
      <c r="K58" s="226"/>
      <c r="L58" s="330"/>
      <c r="M58" s="330"/>
      <c r="N58" s="330"/>
      <c r="O58" s="226"/>
      <c r="P58" s="330" t="s">
        <v>112</v>
      </c>
      <c r="Q58" s="226"/>
      <c r="R58" s="273"/>
    </row>
    <row r="59" spans="1:18" ht="15" customHeight="1">
      <c r="A59" s="345" t="s">
        <v>153</v>
      </c>
      <c r="B59" s="311"/>
      <c r="C59" s="327">
        <v>280</v>
      </c>
      <c r="D59" s="328">
        <v>214</v>
      </c>
      <c r="E59" s="328">
        <v>162</v>
      </c>
      <c r="F59" s="329">
        <v>131</v>
      </c>
      <c r="G59" s="641"/>
      <c r="I59" s="324" t="s">
        <v>409</v>
      </c>
      <c r="J59" s="225" t="s">
        <v>404</v>
      </c>
      <c r="K59" s="323"/>
      <c r="L59" s="322"/>
      <c r="M59" s="322"/>
      <c r="N59" s="322"/>
      <c r="O59" s="323"/>
      <c r="P59" s="322" t="s">
        <v>404</v>
      </c>
      <c r="Q59" s="323"/>
      <c r="R59" s="273"/>
    </row>
    <row r="60" spans="1:18" ht="15" customHeight="1">
      <c r="A60" s="345" t="s">
        <v>185</v>
      </c>
      <c r="B60" s="311"/>
      <c r="C60" s="327">
        <v>88</v>
      </c>
      <c r="D60" s="328">
        <v>74</v>
      </c>
      <c r="E60" s="328">
        <v>55</v>
      </c>
      <c r="F60" s="329">
        <v>39</v>
      </c>
      <c r="G60" s="641"/>
      <c r="J60" s="226"/>
      <c r="R60" s="273"/>
    </row>
    <row r="61" spans="1:18" ht="15" customHeight="1">
      <c r="A61" s="345" t="s">
        <v>186</v>
      </c>
      <c r="B61" s="311"/>
      <c r="C61" s="327">
        <v>88</v>
      </c>
      <c r="D61" s="328">
        <v>74</v>
      </c>
      <c r="E61" s="328">
        <v>55</v>
      </c>
      <c r="F61" s="329">
        <v>39</v>
      </c>
      <c r="G61" s="641"/>
      <c r="J61" s="226"/>
    </row>
    <row r="62" spans="1:18" ht="15" customHeight="1">
      <c r="A62" s="345" t="s">
        <v>187</v>
      </c>
      <c r="B62" s="311"/>
      <c r="C62" s="327">
        <v>88</v>
      </c>
      <c r="D62" s="328">
        <v>74</v>
      </c>
      <c r="E62" s="328">
        <v>55</v>
      </c>
      <c r="F62" s="329">
        <v>39</v>
      </c>
      <c r="G62" s="641"/>
      <c r="J62" s="226"/>
    </row>
    <row r="63" spans="1:18" ht="15" customHeight="1">
      <c r="A63" s="345" t="s">
        <v>188</v>
      </c>
      <c r="B63" s="311"/>
      <c r="C63" s="327">
        <v>88</v>
      </c>
      <c r="D63" s="328">
        <v>74</v>
      </c>
      <c r="E63" s="328">
        <v>55</v>
      </c>
      <c r="F63" s="329">
        <v>39</v>
      </c>
      <c r="G63" s="641"/>
      <c r="M63" s="273" t="s">
        <v>52</v>
      </c>
    </row>
    <row r="64" spans="1:18" ht="15" customHeight="1">
      <c r="A64" s="345" t="s">
        <v>104</v>
      </c>
      <c r="B64" s="311"/>
      <c r="C64" s="312">
        <v>294</v>
      </c>
      <c r="D64" s="295">
        <v>241</v>
      </c>
      <c r="E64" s="295">
        <v>190</v>
      </c>
      <c r="F64" s="296">
        <v>157</v>
      </c>
      <c r="G64" s="641"/>
      <c r="M64" s="273" t="s">
        <v>79</v>
      </c>
    </row>
    <row r="65" spans="1:14" ht="15.95" customHeight="1">
      <c r="A65" s="345" t="s">
        <v>189</v>
      </c>
      <c r="B65" s="311"/>
      <c r="C65" s="327">
        <v>88</v>
      </c>
      <c r="D65" s="328">
        <v>74</v>
      </c>
      <c r="E65" s="328">
        <v>55</v>
      </c>
      <c r="F65" s="329">
        <v>39</v>
      </c>
      <c r="G65" s="641"/>
      <c r="M65" s="273" t="s">
        <v>87</v>
      </c>
    </row>
    <row r="66" spans="1:14">
      <c r="A66" s="345" t="s">
        <v>190</v>
      </c>
      <c r="B66" s="311"/>
      <c r="C66" s="327">
        <v>88</v>
      </c>
      <c r="D66" s="328">
        <v>74</v>
      </c>
      <c r="E66" s="328">
        <v>55</v>
      </c>
      <c r="F66" s="329">
        <v>39</v>
      </c>
      <c r="G66" s="641"/>
      <c r="M66" s="273" t="s">
        <v>55</v>
      </c>
    </row>
    <row r="67" spans="1:14">
      <c r="A67" s="345" t="s">
        <v>191</v>
      </c>
      <c r="B67" s="311"/>
      <c r="C67" s="327">
        <v>88</v>
      </c>
      <c r="D67" s="328">
        <v>74</v>
      </c>
      <c r="E67" s="328">
        <v>55</v>
      </c>
      <c r="F67" s="329">
        <v>39</v>
      </c>
      <c r="G67" s="641"/>
    </row>
    <row r="68" spans="1:14">
      <c r="A68" s="345" t="s">
        <v>176</v>
      </c>
      <c r="B68" s="311"/>
      <c r="C68" s="327">
        <v>88</v>
      </c>
      <c r="D68" s="328">
        <v>74</v>
      </c>
      <c r="E68" s="328">
        <v>55</v>
      </c>
      <c r="F68" s="329">
        <v>39</v>
      </c>
      <c r="G68" s="641"/>
      <c r="N68" s="340"/>
    </row>
    <row r="69" spans="1:14">
      <c r="A69" s="345" t="s">
        <v>192</v>
      </c>
      <c r="B69" s="311"/>
      <c r="C69" s="327">
        <v>88</v>
      </c>
      <c r="D69" s="328">
        <v>74</v>
      </c>
      <c r="E69" s="328">
        <v>55</v>
      </c>
      <c r="F69" s="329">
        <v>39</v>
      </c>
      <c r="G69" s="641"/>
    </row>
    <row r="70" spans="1:14">
      <c r="A70" s="345" t="s">
        <v>193</v>
      </c>
      <c r="B70" s="311"/>
      <c r="C70" s="327">
        <v>88</v>
      </c>
      <c r="D70" s="328">
        <v>74</v>
      </c>
      <c r="E70" s="328">
        <v>55</v>
      </c>
      <c r="F70" s="329">
        <v>39</v>
      </c>
      <c r="G70" s="641"/>
    </row>
    <row r="71" spans="1:14">
      <c r="A71" s="345" t="s">
        <v>194</v>
      </c>
      <c r="B71" s="311"/>
      <c r="C71" s="327">
        <v>88</v>
      </c>
      <c r="D71" s="328">
        <v>74</v>
      </c>
      <c r="E71" s="328">
        <v>55</v>
      </c>
      <c r="F71" s="329">
        <v>39</v>
      </c>
      <c r="G71" s="641"/>
    </row>
    <row r="72" spans="1:14">
      <c r="A72" s="345" t="s">
        <v>195</v>
      </c>
      <c r="B72" s="311"/>
      <c r="C72" s="327">
        <v>88</v>
      </c>
      <c r="D72" s="328">
        <v>74</v>
      </c>
      <c r="E72" s="328">
        <v>55</v>
      </c>
      <c r="F72" s="329">
        <v>39</v>
      </c>
      <c r="G72" s="641"/>
    </row>
    <row r="73" spans="1:14">
      <c r="A73" s="345" t="s">
        <v>196</v>
      </c>
      <c r="B73" s="311"/>
      <c r="C73" s="327">
        <v>88</v>
      </c>
      <c r="D73" s="328">
        <v>74</v>
      </c>
      <c r="E73" s="328">
        <v>55</v>
      </c>
      <c r="F73" s="329">
        <v>39</v>
      </c>
      <c r="G73" s="641"/>
    </row>
    <row r="74" spans="1:14">
      <c r="A74" s="345" t="s">
        <v>197</v>
      </c>
      <c r="B74" s="311"/>
      <c r="C74" s="327">
        <v>88</v>
      </c>
      <c r="D74" s="328">
        <v>74</v>
      </c>
      <c r="E74" s="328">
        <v>55</v>
      </c>
      <c r="F74" s="329">
        <v>39</v>
      </c>
      <c r="G74" s="641"/>
    </row>
    <row r="75" spans="1:14">
      <c r="A75" s="345" t="s">
        <v>198</v>
      </c>
      <c r="B75" s="311"/>
      <c r="C75" s="327">
        <v>88</v>
      </c>
      <c r="D75" s="328">
        <v>74</v>
      </c>
      <c r="E75" s="328">
        <v>55</v>
      </c>
      <c r="F75" s="329">
        <v>39</v>
      </c>
      <c r="G75" s="641"/>
    </row>
    <row r="76" spans="1:14">
      <c r="A76" s="345" t="s">
        <v>199</v>
      </c>
      <c r="B76" s="311"/>
      <c r="C76" s="327">
        <v>88</v>
      </c>
      <c r="D76" s="328">
        <v>74</v>
      </c>
      <c r="E76" s="328">
        <v>55</v>
      </c>
      <c r="F76" s="329">
        <v>39</v>
      </c>
      <c r="G76" s="641"/>
    </row>
    <row r="77" spans="1:14">
      <c r="A77" s="345" t="s">
        <v>200</v>
      </c>
      <c r="B77" s="311"/>
      <c r="C77" s="327">
        <v>88</v>
      </c>
      <c r="D77" s="328">
        <v>74</v>
      </c>
      <c r="E77" s="328">
        <v>55</v>
      </c>
      <c r="F77" s="329">
        <v>39</v>
      </c>
      <c r="G77" s="641"/>
    </row>
    <row r="78" spans="1:14">
      <c r="A78" s="345" t="s">
        <v>201</v>
      </c>
      <c r="B78" s="311"/>
      <c r="C78" s="327">
        <v>88</v>
      </c>
      <c r="D78" s="328">
        <v>74</v>
      </c>
      <c r="E78" s="328">
        <v>55</v>
      </c>
      <c r="F78" s="329">
        <v>39</v>
      </c>
      <c r="G78" s="641"/>
    </row>
    <row r="79" spans="1:14">
      <c r="A79" s="345" t="s">
        <v>202</v>
      </c>
      <c r="B79" s="311"/>
      <c r="C79" s="327">
        <v>88</v>
      </c>
      <c r="D79" s="328">
        <v>74</v>
      </c>
      <c r="E79" s="328">
        <v>55</v>
      </c>
      <c r="F79" s="329">
        <v>39</v>
      </c>
      <c r="G79" s="641"/>
    </row>
    <row r="80" spans="1:14">
      <c r="A80" s="345" t="s">
        <v>203</v>
      </c>
      <c r="B80" s="311"/>
      <c r="C80" s="327">
        <v>88</v>
      </c>
      <c r="D80" s="328">
        <v>74</v>
      </c>
      <c r="E80" s="328">
        <v>55</v>
      </c>
      <c r="F80" s="329">
        <v>39</v>
      </c>
      <c r="G80" s="641"/>
    </row>
    <row r="81" spans="1:7">
      <c r="A81" s="345" t="s">
        <v>204</v>
      </c>
      <c r="B81" s="311"/>
      <c r="C81" s="327">
        <v>88</v>
      </c>
      <c r="D81" s="328">
        <v>74</v>
      </c>
      <c r="E81" s="328">
        <v>55</v>
      </c>
      <c r="F81" s="329">
        <v>39</v>
      </c>
      <c r="G81" s="641"/>
    </row>
    <row r="82" spans="1:7">
      <c r="A82" s="345" t="s">
        <v>205</v>
      </c>
      <c r="B82" s="311"/>
      <c r="C82" s="327">
        <v>88</v>
      </c>
      <c r="D82" s="328">
        <v>74</v>
      </c>
      <c r="E82" s="328">
        <v>55</v>
      </c>
      <c r="F82" s="329">
        <v>39</v>
      </c>
      <c r="G82" s="641"/>
    </row>
    <row r="83" spans="1:7">
      <c r="A83" s="345" t="s">
        <v>206</v>
      </c>
      <c r="B83" s="311"/>
      <c r="C83" s="327">
        <v>88</v>
      </c>
      <c r="D83" s="328">
        <v>74</v>
      </c>
      <c r="E83" s="328">
        <v>55</v>
      </c>
      <c r="F83" s="329">
        <v>39</v>
      </c>
      <c r="G83" s="641"/>
    </row>
    <row r="84" spans="1:7">
      <c r="A84" s="345" t="s">
        <v>160</v>
      </c>
      <c r="B84" s="311"/>
      <c r="C84" s="327">
        <v>164</v>
      </c>
      <c r="D84" s="328">
        <v>137</v>
      </c>
      <c r="E84" s="328">
        <v>102</v>
      </c>
      <c r="F84" s="329">
        <v>78</v>
      </c>
      <c r="G84" s="641"/>
    </row>
    <row r="85" spans="1:7">
      <c r="A85" s="345" t="s">
        <v>207</v>
      </c>
      <c r="B85" s="311"/>
      <c r="C85" s="327">
        <v>88</v>
      </c>
      <c r="D85" s="328">
        <v>74</v>
      </c>
      <c r="E85" s="328">
        <v>55</v>
      </c>
      <c r="F85" s="329">
        <v>39</v>
      </c>
      <c r="G85" s="641"/>
    </row>
    <row r="86" spans="1:7">
      <c r="A86" s="345" t="s">
        <v>208</v>
      </c>
      <c r="B86" s="311"/>
      <c r="C86" s="327">
        <v>88</v>
      </c>
      <c r="D86" s="328">
        <v>74</v>
      </c>
      <c r="E86" s="328">
        <v>55</v>
      </c>
      <c r="F86" s="329">
        <v>39</v>
      </c>
      <c r="G86" s="641"/>
    </row>
    <row r="87" spans="1:7">
      <c r="A87" s="345" t="s">
        <v>209</v>
      </c>
      <c r="B87" s="311"/>
      <c r="C87" s="327">
        <v>88</v>
      </c>
      <c r="D87" s="328">
        <v>74</v>
      </c>
      <c r="E87" s="328">
        <v>55</v>
      </c>
      <c r="F87" s="329">
        <v>39</v>
      </c>
      <c r="G87" s="641"/>
    </row>
    <row r="88" spans="1:7">
      <c r="A88" s="345" t="s">
        <v>210</v>
      </c>
      <c r="B88" s="311"/>
      <c r="C88" s="327">
        <v>88</v>
      </c>
      <c r="D88" s="328">
        <v>74</v>
      </c>
      <c r="E88" s="328">
        <v>55</v>
      </c>
      <c r="F88" s="329">
        <v>39</v>
      </c>
      <c r="G88" s="641"/>
    </row>
    <row r="89" spans="1:7">
      <c r="A89" s="345" t="s">
        <v>211</v>
      </c>
      <c r="B89" s="311"/>
      <c r="C89" s="327">
        <v>88</v>
      </c>
      <c r="D89" s="328">
        <v>74</v>
      </c>
      <c r="E89" s="328">
        <v>55</v>
      </c>
      <c r="F89" s="329">
        <v>39</v>
      </c>
      <c r="G89" s="641"/>
    </row>
    <row r="90" spans="1:7">
      <c r="A90" s="345" t="s">
        <v>212</v>
      </c>
      <c r="B90" s="311"/>
      <c r="C90" s="327">
        <v>88</v>
      </c>
      <c r="D90" s="328">
        <v>74</v>
      </c>
      <c r="E90" s="328">
        <v>55</v>
      </c>
      <c r="F90" s="329">
        <v>39</v>
      </c>
      <c r="G90" s="641"/>
    </row>
    <row r="91" spans="1:7">
      <c r="A91" s="345" t="s">
        <v>213</v>
      </c>
      <c r="B91" s="311"/>
      <c r="C91" s="327">
        <v>88</v>
      </c>
      <c r="D91" s="328">
        <v>74</v>
      </c>
      <c r="E91" s="328">
        <v>55</v>
      </c>
      <c r="F91" s="329">
        <v>39</v>
      </c>
      <c r="G91" s="641"/>
    </row>
    <row r="92" spans="1:7">
      <c r="A92" s="345" t="s">
        <v>214</v>
      </c>
      <c r="B92" s="311"/>
      <c r="C92" s="327">
        <v>88</v>
      </c>
      <c r="D92" s="328">
        <v>74</v>
      </c>
      <c r="E92" s="328">
        <v>55</v>
      </c>
      <c r="F92" s="329">
        <v>39</v>
      </c>
      <c r="G92" s="641"/>
    </row>
    <row r="93" spans="1:7">
      <c r="A93" s="345" t="s">
        <v>215</v>
      </c>
      <c r="B93" s="311"/>
      <c r="C93" s="327">
        <v>88</v>
      </c>
      <c r="D93" s="328">
        <v>74</v>
      </c>
      <c r="E93" s="328">
        <v>55</v>
      </c>
      <c r="F93" s="329">
        <v>39</v>
      </c>
      <c r="G93" s="641"/>
    </row>
    <row r="94" spans="1:7">
      <c r="A94" s="345" t="s">
        <v>216</v>
      </c>
      <c r="B94" s="311"/>
      <c r="C94" s="327">
        <v>88</v>
      </c>
      <c r="D94" s="328">
        <v>74</v>
      </c>
      <c r="E94" s="328">
        <v>55</v>
      </c>
      <c r="F94" s="329">
        <v>39</v>
      </c>
      <c r="G94" s="641"/>
    </row>
    <row r="95" spans="1:7">
      <c r="A95" s="345" t="s">
        <v>217</v>
      </c>
      <c r="B95" s="311"/>
      <c r="C95" s="327">
        <v>88</v>
      </c>
      <c r="D95" s="328">
        <v>74</v>
      </c>
      <c r="E95" s="328">
        <v>55</v>
      </c>
      <c r="F95" s="329">
        <v>39</v>
      </c>
      <c r="G95" s="641"/>
    </row>
    <row r="96" spans="1:7">
      <c r="A96" s="345" t="s">
        <v>218</v>
      </c>
      <c r="B96" s="311"/>
      <c r="C96" s="327">
        <v>88</v>
      </c>
      <c r="D96" s="328">
        <v>74</v>
      </c>
      <c r="E96" s="328">
        <v>55</v>
      </c>
      <c r="F96" s="329">
        <v>39</v>
      </c>
      <c r="G96" s="641"/>
    </row>
    <row r="97" spans="1:7">
      <c r="A97" s="345" t="s">
        <v>219</v>
      </c>
      <c r="B97" s="311"/>
      <c r="C97" s="327">
        <v>88</v>
      </c>
      <c r="D97" s="328">
        <v>74</v>
      </c>
      <c r="E97" s="328">
        <v>55</v>
      </c>
      <c r="F97" s="329">
        <v>39</v>
      </c>
      <c r="G97" s="641"/>
    </row>
    <row r="98" spans="1:7">
      <c r="A98" s="345" t="s">
        <v>220</v>
      </c>
      <c r="B98" s="311"/>
      <c r="C98" s="327">
        <v>88</v>
      </c>
      <c r="D98" s="328">
        <v>74</v>
      </c>
      <c r="E98" s="328">
        <v>55</v>
      </c>
      <c r="F98" s="329">
        <v>39</v>
      </c>
      <c r="G98" s="641"/>
    </row>
    <row r="99" spans="1:7">
      <c r="A99" s="345" t="s">
        <v>161</v>
      </c>
      <c r="B99" s="311"/>
      <c r="C99" s="327">
        <v>164</v>
      </c>
      <c r="D99" s="328">
        <v>137</v>
      </c>
      <c r="E99" s="328">
        <v>102</v>
      </c>
      <c r="F99" s="329">
        <v>78</v>
      </c>
      <c r="G99" s="641"/>
    </row>
    <row r="100" spans="1:7">
      <c r="A100" s="345" t="s">
        <v>221</v>
      </c>
      <c r="B100" s="311"/>
      <c r="C100" s="327">
        <v>88</v>
      </c>
      <c r="D100" s="328">
        <v>74</v>
      </c>
      <c r="E100" s="328">
        <v>55</v>
      </c>
      <c r="F100" s="329">
        <v>39</v>
      </c>
      <c r="G100" s="641"/>
    </row>
    <row r="101" spans="1:7">
      <c r="A101" s="345" t="s">
        <v>222</v>
      </c>
      <c r="B101" s="311"/>
      <c r="C101" s="327">
        <v>88</v>
      </c>
      <c r="D101" s="328">
        <v>74</v>
      </c>
      <c r="E101" s="328">
        <v>55</v>
      </c>
      <c r="F101" s="329">
        <v>39</v>
      </c>
      <c r="G101" s="641"/>
    </row>
    <row r="102" spans="1:7">
      <c r="A102" s="345" t="s">
        <v>223</v>
      </c>
      <c r="B102" s="311"/>
      <c r="C102" s="327">
        <v>88</v>
      </c>
      <c r="D102" s="328">
        <v>74</v>
      </c>
      <c r="E102" s="328">
        <v>55</v>
      </c>
      <c r="F102" s="329">
        <v>39</v>
      </c>
      <c r="G102" s="641"/>
    </row>
    <row r="103" spans="1:7">
      <c r="A103" s="345" t="s">
        <v>224</v>
      </c>
      <c r="B103" s="311"/>
      <c r="C103" s="327">
        <v>88</v>
      </c>
      <c r="D103" s="328">
        <v>74</v>
      </c>
      <c r="E103" s="328">
        <v>55</v>
      </c>
      <c r="F103" s="329">
        <v>39</v>
      </c>
      <c r="G103" s="641"/>
    </row>
    <row r="104" spans="1:7">
      <c r="A104" s="345" t="s">
        <v>162</v>
      </c>
      <c r="B104" s="311"/>
      <c r="C104" s="327">
        <v>164</v>
      </c>
      <c r="D104" s="328">
        <v>137</v>
      </c>
      <c r="E104" s="328">
        <v>102</v>
      </c>
      <c r="F104" s="329">
        <v>78</v>
      </c>
      <c r="G104" s="641"/>
    </row>
    <row r="105" spans="1:7">
      <c r="A105" s="345" t="s">
        <v>225</v>
      </c>
      <c r="B105" s="311"/>
      <c r="C105" s="327">
        <v>88</v>
      </c>
      <c r="D105" s="328">
        <v>74</v>
      </c>
      <c r="E105" s="328">
        <v>55</v>
      </c>
      <c r="F105" s="329">
        <v>39</v>
      </c>
      <c r="G105" s="641"/>
    </row>
    <row r="106" spans="1:7">
      <c r="A106" s="345" t="s">
        <v>226</v>
      </c>
      <c r="B106" s="311"/>
      <c r="C106" s="327">
        <v>88</v>
      </c>
      <c r="D106" s="328">
        <v>74</v>
      </c>
      <c r="E106" s="328">
        <v>55</v>
      </c>
      <c r="F106" s="329">
        <v>39</v>
      </c>
      <c r="G106" s="641"/>
    </row>
    <row r="107" spans="1:7">
      <c r="A107" s="345" t="s">
        <v>154</v>
      </c>
      <c r="B107" s="311"/>
      <c r="C107" s="327">
        <v>280</v>
      </c>
      <c r="D107" s="328">
        <v>214</v>
      </c>
      <c r="E107" s="328">
        <v>162</v>
      </c>
      <c r="F107" s="329">
        <v>131</v>
      </c>
      <c r="G107" s="641"/>
    </row>
    <row r="108" spans="1:7">
      <c r="A108" s="345" t="s">
        <v>227</v>
      </c>
      <c r="B108" s="311"/>
      <c r="C108" s="327">
        <v>88</v>
      </c>
      <c r="D108" s="328">
        <v>74</v>
      </c>
      <c r="E108" s="328">
        <v>55</v>
      </c>
      <c r="F108" s="329">
        <v>39</v>
      </c>
      <c r="G108" s="641"/>
    </row>
    <row r="109" spans="1:7">
      <c r="A109" s="345" t="s">
        <v>228</v>
      </c>
      <c r="B109" s="311"/>
      <c r="C109" s="327">
        <v>88</v>
      </c>
      <c r="D109" s="328">
        <v>74</v>
      </c>
      <c r="E109" s="328">
        <v>55</v>
      </c>
      <c r="F109" s="329">
        <v>39</v>
      </c>
      <c r="G109" s="641"/>
    </row>
    <row r="110" spans="1:7">
      <c r="A110" s="345" t="s">
        <v>229</v>
      </c>
      <c r="B110" s="311"/>
      <c r="C110" s="327">
        <v>88</v>
      </c>
      <c r="D110" s="328">
        <v>74</v>
      </c>
      <c r="E110" s="328">
        <v>55</v>
      </c>
      <c r="F110" s="329">
        <v>39</v>
      </c>
      <c r="G110" s="641"/>
    </row>
    <row r="111" spans="1:7">
      <c r="A111" s="345" t="s">
        <v>230</v>
      </c>
      <c r="B111" s="311"/>
      <c r="C111" s="327">
        <v>88</v>
      </c>
      <c r="D111" s="328">
        <v>74</v>
      </c>
      <c r="E111" s="328">
        <v>55</v>
      </c>
      <c r="F111" s="329">
        <v>39</v>
      </c>
      <c r="G111" s="641"/>
    </row>
    <row r="112" spans="1:7">
      <c r="A112" s="345" t="s">
        <v>231</v>
      </c>
      <c r="B112" s="311"/>
      <c r="C112" s="327">
        <v>88</v>
      </c>
      <c r="D112" s="328">
        <v>74</v>
      </c>
      <c r="E112" s="328">
        <v>55</v>
      </c>
      <c r="F112" s="329">
        <v>39</v>
      </c>
      <c r="G112" s="641"/>
    </row>
    <row r="113" spans="1:7">
      <c r="A113" s="345" t="s">
        <v>163</v>
      </c>
      <c r="B113" s="311"/>
      <c r="C113" s="327">
        <v>164</v>
      </c>
      <c r="D113" s="328">
        <v>137</v>
      </c>
      <c r="E113" s="328">
        <v>102</v>
      </c>
      <c r="F113" s="329">
        <v>78</v>
      </c>
      <c r="G113" s="641"/>
    </row>
    <row r="114" spans="1:7">
      <c r="A114" s="345" t="s">
        <v>232</v>
      </c>
      <c r="B114" s="311"/>
      <c r="C114" s="327">
        <v>88</v>
      </c>
      <c r="D114" s="328">
        <v>74</v>
      </c>
      <c r="E114" s="328">
        <v>55</v>
      </c>
      <c r="F114" s="329">
        <v>39</v>
      </c>
      <c r="G114" s="641"/>
    </row>
    <row r="115" spans="1:7">
      <c r="A115" s="345" t="s">
        <v>105</v>
      </c>
      <c r="B115" s="311"/>
      <c r="C115" s="312">
        <v>294</v>
      </c>
      <c r="D115" s="295">
        <v>241</v>
      </c>
      <c r="E115" s="295">
        <v>190</v>
      </c>
      <c r="F115" s="296">
        <v>157</v>
      </c>
      <c r="G115" s="641"/>
    </row>
    <row r="116" spans="1:7">
      <c r="A116" s="345" t="s">
        <v>233</v>
      </c>
      <c r="B116" s="311"/>
      <c r="C116" s="327">
        <v>88</v>
      </c>
      <c r="D116" s="328">
        <v>74</v>
      </c>
      <c r="E116" s="328">
        <v>55</v>
      </c>
      <c r="F116" s="329">
        <v>39</v>
      </c>
      <c r="G116" s="641"/>
    </row>
    <row r="117" spans="1:7">
      <c r="A117" s="345" t="s">
        <v>234</v>
      </c>
      <c r="B117" s="311"/>
      <c r="C117" s="327">
        <v>88</v>
      </c>
      <c r="D117" s="328">
        <v>74</v>
      </c>
      <c r="E117" s="328">
        <v>55</v>
      </c>
      <c r="F117" s="329">
        <v>39</v>
      </c>
      <c r="G117" s="641"/>
    </row>
    <row r="118" spans="1:7">
      <c r="A118" s="345" t="s">
        <v>235</v>
      </c>
      <c r="B118" s="311"/>
      <c r="C118" s="327">
        <v>88</v>
      </c>
      <c r="D118" s="328">
        <v>74</v>
      </c>
      <c r="E118" s="328">
        <v>55</v>
      </c>
      <c r="F118" s="329">
        <v>39</v>
      </c>
      <c r="G118" s="641"/>
    </row>
    <row r="119" spans="1:7">
      <c r="A119" s="345" t="s">
        <v>236</v>
      </c>
      <c r="B119" s="311"/>
      <c r="C119" s="327">
        <v>88</v>
      </c>
      <c r="D119" s="328">
        <v>74</v>
      </c>
      <c r="E119" s="328">
        <v>55</v>
      </c>
      <c r="F119" s="329">
        <v>39</v>
      </c>
      <c r="G119" s="641"/>
    </row>
    <row r="120" spans="1:7">
      <c r="A120" s="345" t="s">
        <v>237</v>
      </c>
      <c r="B120" s="311"/>
      <c r="C120" s="327">
        <v>88</v>
      </c>
      <c r="D120" s="328">
        <v>74</v>
      </c>
      <c r="E120" s="328">
        <v>55</v>
      </c>
      <c r="F120" s="329">
        <v>39</v>
      </c>
      <c r="G120" s="641"/>
    </row>
    <row r="121" spans="1:7">
      <c r="A121" s="345" t="s">
        <v>238</v>
      </c>
      <c r="B121" s="311"/>
      <c r="C121" s="327">
        <v>88</v>
      </c>
      <c r="D121" s="328">
        <v>74</v>
      </c>
      <c r="E121" s="328">
        <v>55</v>
      </c>
      <c r="F121" s="329">
        <v>39</v>
      </c>
      <c r="G121" s="641"/>
    </row>
    <row r="122" spans="1:7">
      <c r="A122" s="345" t="s">
        <v>106</v>
      </c>
      <c r="B122" s="311"/>
      <c r="C122" s="312">
        <v>294</v>
      </c>
      <c r="D122" s="295">
        <v>241</v>
      </c>
      <c r="E122" s="295">
        <v>190</v>
      </c>
      <c r="F122" s="296">
        <v>157</v>
      </c>
      <c r="G122" s="641"/>
    </row>
    <row r="123" spans="1:7">
      <c r="A123" s="345" t="s">
        <v>239</v>
      </c>
      <c r="B123" s="311"/>
      <c r="C123" s="327">
        <v>88</v>
      </c>
      <c r="D123" s="328">
        <v>74</v>
      </c>
      <c r="E123" s="328">
        <v>55</v>
      </c>
      <c r="F123" s="329">
        <v>39</v>
      </c>
      <c r="G123" s="641"/>
    </row>
    <row r="124" spans="1:7">
      <c r="A124" s="345" t="s">
        <v>240</v>
      </c>
      <c r="B124" s="311"/>
      <c r="C124" s="327">
        <v>88</v>
      </c>
      <c r="D124" s="328">
        <v>74</v>
      </c>
      <c r="E124" s="328">
        <v>55</v>
      </c>
      <c r="F124" s="329">
        <v>39</v>
      </c>
      <c r="G124" s="641"/>
    </row>
    <row r="125" spans="1:7">
      <c r="A125" s="345" t="s">
        <v>241</v>
      </c>
      <c r="B125" s="311"/>
      <c r="C125" s="327">
        <v>88</v>
      </c>
      <c r="D125" s="328">
        <v>74</v>
      </c>
      <c r="E125" s="328">
        <v>55</v>
      </c>
      <c r="F125" s="329">
        <v>39</v>
      </c>
      <c r="G125" s="641"/>
    </row>
    <row r="126" spans="1:7">
      <c r="A126" s="345" t="s">
        <v>242</v>
      </c>
      <c r="B126" s="311"/>
      <c r="C126" s="327">
        <v>88</v>
      </c>
      <c r="D126" s="328">
        <v>74</v>
      </c>
      <c r="E126" s="328">
        <v>55</v>
      </c>
      <c r="F126" s="329">
        <v>39</v>
      </c>
      <c r="G126" s="641"/>
    </row>
    <row r="127" spans="1:7">
      <c r="A127" s="345" t="s">
        <v>243</v>
      </c>
      <c r="B127" s="311"/>
      <c r="C127" s="327">
        <v>88</v>
      </c>
      <c r="D127" s="328">
        <v>74</v>
      </c>
      <c r="E127" s="328">
        <v>55</v>
      </c>
      <c r="F127" s="329">
        <v>39</v>
      </c>
      <c r="G127" s="641"/>
    </row>
    <row r="128" spans="1:7">
      <c r="A128" s="345" t="s">
        <v>244</v>
      </c>
      <c r="B128" s="311"/>
      <c r="C128" s="327">
        <v>88</v>
      </c>
      <c r="D128" s="328">
        <v>74</v>
      </c>
      <c r="E128" s="328">
        <v>55</v>
      </c>
      <c r="F128" s="329">
        <v>39</v>
      </c>
      <c r="G128" s="641"/>
    </row>
    <row r="129" spans="1:7">
      <c r="A129" s="345" t="s">
        <v>245</v>
      </c>
      <c r="B129" s="311"/>
      <c r="C129" s="327">
        <v>88</v>
      </c>
      <c r="D129" s="328">
        <v>74</v>
      </c>
      <c r="E129" s="328">
        <v>55</v>
      </c>
      <c r="F129" s="329">
        <v>39</v>
      </c>
      <c r="G129" s="641"/>
    </row>
    <row r="130" spans="1:7">
      <c r="A130" s="345" t="s">
        <v>246</v>
      </c>
      <c r="B130" s="311"/>
      <c r="C130" s="327">
        <v>88</v>
      </c>
      <c r="D130" s="328">
        <v>74</v>
      </c>
      <c r="E130" s="328">
        <v>55</v>
      </c>
      <c r="F130" s="329">
        <v>39</v>
      </c>
      <c r="G130" s="641"/>
    </row>
    <row r="131" spans="1:7">
      <c r="A131" s="345" t="s">
        <v>247</v>
      </c>
      <c r="B131" s="311"/>
      <c r="C131" s="327">
        <v>88</v>
      </c>
      <c r="D131" s="328">
        <v>74</v>
      </c>
      <c r="E131" s="328">
        <v>55</v>
      </c>
      <c r="F131" s="329">
        <v>39</v>
      </c>
      <c r="G131" s="641"/>
    </row>
    <row r="132" spans="1:7">
      <c r="A132" s="345" t="s">
        <v>248</v>
      </c>
      <c r="B132" s="311"/>
      <c r="C132" s="327">
        <v>88</v>
      </c>
      <c r="D132" s="328">
        <v>74</v>
      </c>
      <c r="E132" s="328">
        <v>55</v>
      </c>
      <c r="F132" s="329">
        <v>39</v>
      </c>
      <c r="G132" s="641"/>
    </row>
    <row r="133" spans="1:7">
      <c r="A133" s="345" t="s">
        <v>249</v>
      </c>
      <c r="B133" s="311"/>
      <c r="C133" s="327">
        <v>88</v>
      </c>
      <c r="D133" s="328">
        <v>74</v>
      </c>
      <c r="E133" s="328">
        <v>55</v>
      </c>
      <c r="F133" s="329">
        <v>39</v>
      </c>
      <c r="G133" s="641"/>
    </row>
    <row r="134" spans="1:7">
      <c r="A134" s="345" t="s">
        <v>107</v>
      </c>
      <c r="B134" s="311"/>
      <c r="C134" s="312">
        <v>294</v>
      </c>
      <c r="D134" s="295">
        <v>241</v>
      </c>
      <c r="E134" s="295">
        <v>190</v>
      </c>
      <c r="F134" s="296">
        <v>157</v>
      </c>
      <c r="G134" s="641"/>
    </row>
    <row r="135" spans="1:7">
      <c r="A135" s="345" t="s">
        <v>250</v>
      </c>
      <c r="B135" s="311"/>
      <c r="C135" s="327">
        <v>88</v>
      </c>
      <c r="D135" s="328">
        <v>74</v>
      </c>
      <c r="E135" s="328">
        <v>55</v>
      </c>
      <c r="F135" s="329">
        <v>39</v>
      </c>
      <c r="G135" s="641"/>
    </row>
    <row r="136" spans="1:7">
      <c r="A136" s="345" t="s">
        <v>251</v>
      </c>
      <c r="B136" s="311"/>
      <c r="C136" s="327">
        <v>88</v>
      </c>
      <c r="D136" s="328">
        <v>74</v>
      </c>
      <c r="E136" s="328">
        <v>55</v>
      </c>
      <c r="F136" s="329">
        <v>39</v>
      </c>
      <c r="G136" s="641"/>
    </row>
    <row r="137" spans="1:7">
      <c r="A137" s="345" t="s">
        <v>252</v>
      </c>
      <c r="B137" s="311"/>
      <c r="C137" s="327">
        <v>88</v>
      </c>
      <c r="D137" s="328">
        <v>74</v>
      </c>
      <c r="E137" s="328">
        <v>55</v>
      </c>
      <c r="F137" s="329">
        <v>39</v>
      </c>
      <c r="G137" s="641"/>
    </row>
    <row r="138" spans="1:7">
      <c r="A138" s="345" t="s">
        <v>253</v>
      </c>
      <c r="B138" s="311"/>
      <c r="C138" s="327">
        <v>88</v>
      </c>
      <c r="D138" s="328">
        <v>74</v>
      </c>
      <c r="E138" s="328">
        <v>55</v>
      </c>
      <c r="F138" s="329">
        <v>39</v>
      </c>
      <c r="G138" s="641"/>
    </row>
    <row r="139" spans="1:7">
      <c r="A139" s="345" t="s">
        <v>254</v>
      </c>
      <c r="B139" s="311"/>
      <c r="C139" s="327">
        <v>88</v>
      </c>
      <c r="D139" s="328">
        <v>74</v>
      </c>
      <c r="E139" s="328">
        <v>55</v>
      </c>
      <c r="F139" s="329">
        <v>39</v>
      </c>
      <c r="G139" s="641"/>
    </row>
    <row r="140" spans="1:7">
      <c r="A140" s="345" t="s">
        <v>255</v>
      </c>
      <c r="B140" s="311"/>
      <c r="C140" s="327">
        <v>88</v>
      </c>
      <c r="D140" s="328">
        <v>74</v>
      </c>
      <c r="E140" s="328">
        <v>55</v>
      </c>
      <c r="F140" s="329">
        <v>39</v>
      </c>
      <c r="G140" s="641"/>
    </row>
    <row r="141" spans="1:7">
      <c r="A141" s="345" t="s">
        <v>256</v>
      </c>
      <c r="B141" s="311"/>
      <c r="C141" s="327">
        <v>88</v>
      </c>
      <c r="D141" s="328">
        <v>74</v>
      </c>
      <c r="E141" s="328">
        <v>55</v>
      </c>
      <c r="F141" s="329">
        <v>39</v>
      </c>
      <c r="G141" s="641"/>
    </row>
    <row r="142" spans="1:7">
      <c r="A142" s="345" t="s">
        <v>257</v>
      </c>
      <c r="B142" s="311"/>
      <c r="C142" s="327">
        <v>88</v>
      </c>
      <c r="D142" s="328">
        <v>74</v>
      </c>
      <c r="E142" s="328">
        <v>55</v>
      </c>
      <c r="F142" s="329">
        <v>39</v>
      </c>
      <c r="G142" s="641"/>
    </row>
    <row r="143" spans="1:7">
      <c r="A143" s="345" t="s">
        <v>155</v>
      </c>
      <c r="B143" s="311"/>
      <c r="C143" s="327">
        <v>280</v>
      </c>
      <c r="D143" s="328">
        <v>214</v>
      </c>
      <c r="E143" s="328">
        <v>162</v>
      </c>
      <c r="F143" s="329">
        <v>131</v>
      </c>
      <c r="G143" s="641"/>
    </row>
    <row r="144" spans="1:7">
      <c r="A144" s="345" t="s">
        <v>258</v>
      </c>
      <c r="B144" s="311"/>
      <c r="C144" s="327">
        <v>88</v>
      </c>
      <c r="D144" s="328">
        <v>74</v>
      </c>
      <c r="E144" s="328">
        <v>55</v>
      </c>
      <c r="F144" s="329">
        <v>39</v>
      </c>
      <c r="G144" s="641"/>
    </row>
    <row r="145" spans="1:7">
      <c r="A145" s="345" t="s">
        <v>259</v>
      </c>
      <c r="B145" s="311"/>
      <c r="C145" s="327">
        <v>88</v>
      </c>
      <c r="D145" s="328">
        <v>74</v>
      </c>
      <c r="E145" s="328">
        <v>55</v>
      </c>
      <c r="F145" s="329">
        <v>39</v>
      </c>
      <c r="G145" s="641"/>
    </row>
    <row r="146" spans="1:7">
      <c r="A146" s="345" t="s">
        <v>260</v>
      </c>
      <c r="B146" s="311"/>
      <c r="C146" s="327">
        <v>88</v>
      </c>
      <c r="D146" s="328">
        <v>74</v>
      </c>
      <c r="E146" s="328">
        <v>55</v>
      </c>
      <c r="F146" s="329">
        <v>39</v>
      </c>
      <c r="G146" s="641"/>
    </row>
    <row r="147" spans="1:7">
      <c r="A147" s="345" t="s">
        <v>261</v>
      </c>
      <c r="B147" s="311"/>
      <c r="C147" s="327">
        <v>88</v>
      </c>
      <c r="D147" s="328">
        <v>74</v>
      </c>
      <c r="E147" s="328">
        <v>55</v>
      </c>
      <c r="F147" s="329">
        <v>39</v>
      </c>
      <c r="G147" s="641"/>
    </row>
    <row r="148" spans="1:7">
      <c r="A148" s="345" t="s">
        <v>164</v>
      </c>
      <c r="B148" s="311"/>
      <c r="C148" s="327">
        <v>164</v>
      </c>
      <c r="D148" s="328">
        <v>137</v>
      </c>
      <c r="E148" s="328">
        <v>102</v>
      </c>
      <c r="F148" s="329">
        <v>78</v>
      </c>
      <c r="G148" s="641"/>
    </row>
    <row r="149" spans="1:7">
      <c r="A149" s="345" t="s">
        <v>262</v>
      </c>
      <c r="B149" s="311"/>
      <c r="C149" s="327">
        <v>88</v>
      </c>
      <c r="D149" s="328">
        <v>74</v>
      </c>
      <c r="E149" s="328">
        <v>55</v>
      </c>
      <c r="F149" s="329">
        <v>39</v>
      </c>
      <c r="G149" s="641"/>
    </row>
    <row r="150" spans="1:7">
      <c r="A150" s="345" t="s">
        <v>263</v>
      </c>
      <c r="B150" s="311"/>
      <c r="C150" s="327">
        <v>88</v>
      </c>
      <c r="D150" s="328">
        <v>74</v>
      </c>
      <c r="E150" s="328">
        <v>55</v>
      </c>
      <c r="F150" s="329">
        <v>39</v>
      </c>
      <c r="G150" s="641"/>
    </row>
    <row r="151" spans="1:7">
      <c r="A151" s="345" t="s">
        <v>264</v>
      </c>
      <c r="B151" s="311"/>
      <c r="C151" s="327">
        <v>88</v>
      </c>
      <c r="D151" s="328">
        <v>74</v>
      </c>
      <c r="E151" s="328">
        <v>55</v>
      </c>
      <c r="F151" s="329">
        <v>39</v>
      </c>
      <c r="G151" s="641"/>
    </row>
    <row r="152" spans="1:7">
      <c r="A152" s="345" t="s">
        <v>265</v>
      </c>
      <c r="B152" s="311"/>
      <c r="C152" s="327">
        <v>88</v>
      </c>
      <c r="D152" s="328">
        <v>74</v>
      </c>
      <c r="E152" s="328">
        <v>55</v>
      </c>
      <c r="F152" s="329">
        <v>39</v>
      </c>
      <c r="G152" s="641"/>
    </row>
    <row r="153" spans="1:7">
      <c r="A153" s="345" t="s">
        <v>266</v>
      </c>
      <c r="B153" s="311"/>
      <c r="C153" s="327">
        <v>88</v>
      </c>
      <c r="D153" s="328">
        <v>74</v>
      </c>
      <c r="E153" s="328">
        <v>55</v>
      </c>
      <c r="F153" s="329">
        <v>39</v>
      </c>
      <c r="G153" s="641"/>
    </row>
    <row r="154" spans="1:7">
      <c r="A154" s="345" t="s">
        <v>267</v>
      </c>
      <c r="B154" s="311"/>
      <c r="C154" s="327">
        <v>88</v>
      </c>
      <c r="D154" s="328">
        <v>74</v>
      </c>
      <c r="E154" s="328">
        <v>55</v>
      </c>
      <c r="F154" s="329">
        <v>39</v>
      </c>
      <c r="G154" s="641"/>
    </row>
    <row r="155" spans="1:7">
      <c r="A155" s="345" t="s">
        <v>268</v>
      </c>
      <c r="B155" s="311"/>
      <c r="C155" s="327">
        <v>88</v>
      </c>
      <c r="D155" s="328">
        <v>74</v>
      </c>
      <c r="E155" s="328">
        <v>55</v>
      </c>
      <c r="F155" s="329">
        <v>39</v>
      </c>
      <c r="G155" s="641"/>
    </row>
    <row r="156" spans="1:7">
      <c r="A156" s="345" t="s">
        <v>269</v>
      </c>
      <c r="B156" s="311"/>
      <c r="C156" s="327">
        <v>88</v>
      </c>
      <c r="D156" s="328">
        <v>74</v>
      </c>
      <c r="E156" s="328">
        <v>55</v>
      </c>
      <c r="F156" s="329">
        <v>39</v>
      </c>
      <c r="G156" s="641"/>
    </row>
    <row r="157" spans="1:7">
      <c r="A157" s="345" t="s">
        <v>108</v>
      </c>
      <c r="B157" s="311"/>
      <c r="C157" s="312">
        <v>294</v>
      </c>
      <c r="D157" s="295">
        <v>241</v>
      </c>
      <c r="E157" s="295">
        <v>190</v>
      </c>
      <c r="F157" s="296">
        <v>157</v>
      </c>
      <c r="G157" s="641"/>
    </row>
    <row r="158" spans="1:7">
      <c r="A158" s="345" t="s">
        <v>270</v>
      </c>
      <c r="B158" s="311"/>
      <c r="C158" s="327">
        <v>88</v>
      </c>
      <c r="D158" s="328">
        <v>74</v>
      </c>
      <c r="E158" s="328">
        <v>55</v>
      </c>
      <c r="F158" s="329">
        <v>39</v>
      </c>
      <c r="G158" s="641"/>
    </row>
    <row r="159" spans="1:7">
      <c r="A159" s="345" t="s">
        <v>271</v>
      </c>
      <c r="B159" s="311"/>
      <c r="C159" s="327">
        <v>88</v>
      </c>
      <c r="D159" s="328">
        <v>74</v>
      </c>
      <c r="E159" s="328">
        <v>55</v>
      </c>
      <c r="F159" s="329">
        <v>39</v>
      </c>
      <c r="G159" s="641"/>
    </row>
    <row r="160" spans="1:7">
      <c r="A160" s="345" t="s">
        <v>272</v>
      </c>
      <c r="B160" s="311"/>
      <c r="C160" s="327">
        <v>88</v>
      </c>
      <c r="D160" s="328">
        <v>74</v>
      </c>
      <c r="E160" s="328">
        <v>55</v>
      </c>
      <c r="F160" s="329">
        <v>39</v>
      </c>
      <c r="G160" s="641"/>
    </row>
    <row r="161" spans="1:7">
      <c r="A161" s="345" t="s">
        <v>92</v>
      </c>
      <c r="B161" s="311"/>
      <c r="C161" s="312">
        <v>294</v>
      </c>
      <c r="D161" s="295">
        <v>241</v>
      </c>
      <c r="E161" s="295">
        <v>190</v>
      </c>
      <c r="F161" s="296">
        <v>157</v>
      </c>
      <c r="G161" s="641"/>
    </row>
    <row r="162" spans="1:7">
      <c r="A162" s="345" t="s">
        <v>273</v>
      </c>
      <c r="B162" s="311"/>
      <c r="C162" s="327">
        <v>88</v>
      </c>
      <c r="D162" s="328">
        <v>74</v>
      </c>
      <c r="E162" s="328">
        <v>55</v>
      </c>
      <c r="F162" s="329">
        <v>39</v>
      </c>
      <c r="G162" s="641"/>
    </row>
    <row r="163" spans="1:7">
      <c r="A163" s="345" t="s">
        <v>165</v>
      </c>
      <c r="B163" s="311"/>
      <c r="C163" s="327">
        <v>164</v>
      </c>
      <c r="D163" s="328">
        <v>137</v>
      </c>
      <c r="E163" s="328">
        <v>102</v>
      </c>
      <c r="F163" s="329">
        <v>78</v>
      </c>
      <c r="G163" s="641"/>
    </row>
    <row r="164" spans="1:7">
      <c r="A164" s="345" t="s">
        <v>274</v>
      </c>
      <c r="B164" s="311"/>
      <c r="C164" s="327">
        <v>88</v>
      </c>
      <c r="D164" s="328">
        <v>74</v>
      </c>
      <c r="E164" s="328">
        <v>55</v>
      </c>
      <c r="F164" s="329">
        <v>39</v>
      </c>
      <c r="G164" s="641"/>
    </row>
    <row r="165" spans="1:7">
      <c r="A165" s="345" t="s">
        <v>275</v>
      </c>
      <c r="B165" s="311"/>
      <c r="C165" s="327">
        <v>88</v>
      </c>
      <c r="D165" s="328">
        <v>74</v>
      </c>
      <c r="E165" s="328">
        <v>55</v>
      </c>
      <c r="F165" s="329">
        <v>39</v>
      </c>
      <c r="G165" s="641"/>
    </row>
    <row r="166" spans="1:7">
      <c r="A166" s="345" t="s">
        <v>276</v>
      </c>
      <c r="B166" s="311"/>
      <c r="C166" s="327">
        <v>88</v>
      </c>
      <c r="D166" s="328">
        <v>74</v>
      </c>
      <c r="E166" s="328">
        <v>55</v>
      </c>
      <c r="F166" s="329">
        <v>39</v>
      </c>
      <c r="G166" s="641"/>
    </row>
    <row r="167" spans="1:7">
      <c r="A167" s="345" t="s">
        <v>277</v>
      </c>
      <c r="B167" s="311"/>
      <c r="C167" s="327">
        <v>88</v>
      </c>
      <c r="D167" s="328">
        <v>74</v>
      </c>
      <c r="E167" s="328">
        <v>55</v>
      </c>
      <c r="F167" s="329">
        <v>39</v>
      </c>
      <c r="G167" s="641"/>
    </row>
    <row r="168" spans="1:7">
      <c r="A168" s="345" t="s">
        <v>156</v>
      </c>
      <c r="B168" s="311"/>
      <c r="C168" s="327">
        <v>280</v>
      </c>
      <c r="D168" s="328">
        <v>214</v>
      </c>
      <c r="E168" s="328">
        <v>162</v>
      </c>
      <c r="F168" s="329">
        <v>131</v>
      </c>
      <c r="G168" s="641"/>
    </row>
    <row r="169" spans="1:7">
      <c r="A169" s="345" t="s">
        <v>278</v>
      </c>
      <c r="B169" s="311"/>
      <c r="C169" s="327">
        <v>88</v>
      </c>
      <c r="D169" s="328">
        <v>74</v>
      </c>
      <c r="E169" s="328">
        <v>55</v>
      </c>
      <c r="F169" s="329">
        <v>39</v>
      </c>
      <c r="G169" s="641"/>
    </row>
    <row r="170" spans="1:7">
      <c r="A170" s="345" t="s">
        <v>279</v>
      </c>
      <c r="B170" s="311"/>
      <c r="C170" s="327">
        <v>88</v>
      </c>
      <c r="D170" s="328">
        <v>74</v>
      </c>
      <c r="E170" s="328">
        <v>55</v>
      </c>
      <c r="F170" s="329">
        <v>39</v>
      </c>
      <c r="G170" s="641"/>
    </row>
    <row r="171" spans="1:7">
      <c r="A171" s="345" t="s">
        <v>280</v>
      </c>
      <c r="B171" s="311"/>
      <c r="C171" s="327">
        <v>88</v>
      </c>
      <c r="D171" s="328">
        <v>74</v>
      </c>
      <c r="E171" s="328">
        <v>55</v>
      </c>
      <c r="F171" s="329">
        <v>39</v>
      </c>
      <c r="G171" s="641"/>
    </row>
    <row r="172" spans="1:7">
      <c r="A172" s="345" t="s">
        <v>281</v>
      </c>
      <c r="B172" s="311"/>
      <c r="C172" s="327">
        <v>88</v>
      </c>
      <c r="D172" s="328">
        <v>74</v>
      </c>
      <c r="E172" s="328">
        <v>55</v>
      </c>
      <c r="F172" s="329">
        <v>39</v>
      </c>
      <c r="G172" s="641"/>
    </row>
    <row r="173" spans="1:7">
      <c r="A173" s="345" t="s">
        <v>284</v>
      </c>
      <c r="B173" s="311"/>
      <c r="C173" s="327">
        <v>88</v>
      </c>
      <c r="D173" s="328">
        <v>74</v>
      </c>
      <c r="E173" s="328">
        <v>55</v>
      </c>
      <c r="F173" s="329">
        <v>39</v>
      </c>
      <c r="G173" s="641"/>
    </row>
    <row r="174" spans="1:7">
      <c r="A174" s="345" t="s">
        <v>282</v>
      </c>
      <c r="B174" s="311"/>
      <c r="C174" s="327">
        <v>88</v>
      </c>
      <c r="D174" s="328">
        <v>74</v>
      </c>
      <c r="E174" s="328">
        <v>55</v>
      </c>
      <c r="F174" s="329">
        <v>39</v>
      </c>
      <c r="G174" s="641"/>
    </row>
    <row r="175" spans="1:7">
      <c r="A175" s="345" t="s">
        <v>283</v>
      </c>
      <c r="B175" s="311"/>
      <c r="C175" s="327">
        <v>88</v>
      </c>
      <c r="D175" s="328">
        <v>74</v>
      </c>
      <c r="E175" s="328">
        <v>55</v>
      </c>
      <c r="F175" s="329">
        <v>39</v>
      </c>
      <c r="G175" s="641"/>
    </row>
    <row r="176" spans="1:7">
      <c r="A176" s="345" t="s">
        <v>285</v>
      </c>
      <c r="B176" s="311"/>
      <c r="C176" s="327">
        <v>88</v>
      </c>
      <c r="D176" s="328">
        <v>74</v>
      </c>
      <c r="E176" s="328">
        <v>55</v>
      </c>
      <c r="F176" s="329">
        <v>39</v>
      </c>
      <c r="G176" s="641"/>
    </row>
    <row r="177" spans="1:7">
      <c r="A177" s="345" t="s">
        <v>286</v>
      </c>
      <c r="B177" s="311"/>
      <c r="C177" s="327">
        <v>88</v>
      </c>
      <c r="D177" s="328">
        <v>74</v>
      </c>
      <c r="E177" s="328">
        <v>55</v>
      </c>
      <c r="F177" s="329">
        <v>39</v>
      </c>
      <c r="G177" s="641"/>
    </row>
    <row r="178" spans="1:7">
      <c r="A178" s="345" t="s">
        <v>287</v>
      </c>
      <c r="B178" s="311"/>
      <c r="C178" s="327">
        <v>88</v>
      </c>
      <c r="D178" s="328">
        <v>74</v>
      </c>
      <c r="E178" s="328">
        <v>55</v>
      </c>
      <c r="F178" s="329">
        <v>39</v>
      </c>
      <c r="G178" s="641"/>
    </row>
    <row r="179" spans="1:7">
      <c r="A179" s="343" t="s">
        <v>446</v>
      </c>
      <c r="B179" s="351"/>
      <c r="C179" s="312">
        <v>294</v>
      </c>
      <c r="D179" s="295">
        <v>241</v>
      </c>
      <c r="E179" s="295">
        <v>190</v>
      </c>
      <c r="F179" s="296">
        <v>157</v>
      </c>
      <c r="G179" s="641"/>
    </row>
    <row r="180" spans="1:7">
      <c r="A180" s="345" t="s">
        <v>288</v>
      </c>
      <c r="B180" s="311"/>
      <c r="C180" s="327">
        <v>88</v>
      </c>
      <c r="D180" s="328">
        <v>74</v>
      </c>
      <c r="E180" s="328">
        <v>55</v>
      </c>
      <c r="F180" s="329">
        <v>39</v>
      </c>
      <c r="G180" s="641"/>
    </row>
    <row r="181" spans="1:7">
      <c r="A181" s="345" t="s">
        <v>166</v>
      </c>
      <c r="B181" s="311"/>
      <c r="C181" s="327">
        <v>164</v>
      </c>
      <c r="D181" s="328">
        <v>137</v>
      </c>
      <c r="E181" s="328">
        <v>102</v>
      </c>
      <c r="F181" s="329">
        <v>78</v>
      </c>
      <c r="G181" s="641"/>
    </row>
    <row r="182" spans="1:7">
      <c r="A182" s="345" t="s">
        <v>289</v>
      </c>
      <c r="B182" s="311"/>
      <c r="C182" s="327">
        <v>88</v>
      </c>
      <c r="D182" s="328">
        <v>74</v>
      </c>
      <c r="E182" s="328">
        <v>55</v>
      </c>
      <c r="F182" s="329">
        <v>39</v>
      </c>
      <c r="G182" s="641"/>
    </row>
    <row r="183" spans="1:7">
      <c r="A183" s="345" t="s">
        <v>290</v>
      </c>
      <c r="B183" s="311"/>
      <c r="C183" s="327">
        <v>88</v>
      </c>
      <c r="D183" s="328">
        <v>74</v>
      </c>
      <c r="E183" s="328">
        <v>55</v>
      </c>
      <c r="F183" s="329">
        <v>39</v>
      </c>
      <c r="G183" s="641"/>
    </row>
    <row r="184" spans="1:7">
      <c r="A184" s="345" t="s">
        <v>291</v>
      </c>
      <c r="B184" s="311"/>
      <c r="C184" s="327">
        <v>88</v>
      </c>
      <c r="D184" s="328">
        <v>74</v>
      </c>
      <c r="E184" s="328">
        <v>55</v>
      </c>
      <c r="F184" s="329">
        <v>39</v>
      </c>
      <c r="G184" s="641"/>
    </row>
    <row r="185" spans="1:7">
      <c r="A185" s="345" t="s">
        <v>292</v>
      </c>
      <c r="B185" s="311"/>
      <c r="C185" s="327">
        <v>88</v>
      </c>
      <c r="D185" s="328">
        <v>74</v>
      </c>
      <c r="E185" s="328">
        <v>55</v>
      </c>
      <c r="F185" s="329">
        <v>39</v>
      </c>
      <c r="G185" s="641"/>
    </row>
    <row r="186" spans="1:7">
      <c r="A186" s="345" t="s">
        <v>293</v>
      </c>
      <c r="B186" s="311"/>
      <c r="C186" s="327">
        <v>88</v>
      </c>
      <c r="D186" s="328">
        <v>74</v>
      </c>
      <c r="E186" s="328">
        <v>55</v>
      </c>
      <c r="F186" s="329">
        <v>39</v>
      </c>
      <c r="G186" s="641"/>
    </row>
    <row r="187" spans="1:7">
      <c r="A187" s="345" t="s">
        <v>294</v>
      </c>
      <c r="B187" s="311"/>
      <c r="C187" s="327">
        <v>88</v>
      </c>
      <c r="D187" s="328">
        <v>74</v>
      </c>
      <c r="E187" s="328">
        <v>55</v>
      </c>
      <c r="F187" s="329">
        <v>39</v>
      </c>
      <c r="G187" s="641"/>
    </row>
    <row r="188" spans="1:7">
      <c r="A188" s="345" t="s">
        <v>295</v>
      </c>
      <c r="B188" s="311"/>
      <c r="C188" s="327">
        <v>88</v>
      </c>
      <c r="D188" s="328">
        <v>74</v>
      </c>
      <c r="E188" s="328">
        <v>55</v>
      </c>
      <c r="F188" s="329">
        <v>39</v>
      </c>
      <c r="G188" s="641"/>
    </row>
    <row r="189" spans="1:7">
      <c r="A189" s="345" t="s">
        <v>296</v>
      </c>
      <c r="B189" s="311"/>
      <c r="C189" s="327">
        <v>88</v>
      </c>
      <c r="D189" s="328">
        <v>74</v>
      </c>
      <c r="E189" s="328">
        <v>55</v>
      </c>
      <c r="F189" s="329">
        <v>39</v>
      </c>
      <c r="G189" s="641"/>
    </row>
    <row r="190" spans="1:7">
      <c r="A190" s="345" t="s">
        <v>297</v>
      </c>
      <c r="B190" s="311"/>
      <c r="C190" s="327">
        <v>88</v>
      </c>
      <c r="D190" s="328">
        <v>74</v>
      </c>
      <c r="E190" s="328">
        <v>55</v>
      </c>
      <c r="F190" s="329">
        <v>39</v>
      </c>
      <c r="G190" s="641"/>
    </row>
    <row r="191" spans="1:7">
      <c r="A191" s="345" t="s">
        <v>298</v>
      </c>
      <c r="B191" s="311"/>
      <c r="C191" s="327">
        <v>88</v>
      </c>
      <c r="D191" s="328">
        <v>74</v>
      </c>
      <c r="E191" s="328">
        <v>55</v>
      </c>
      <c r="F191" s="329">
        <v>39</v>
      </c>
      <c r="G191" s="641"/>
    </row>
    <row r="192" spans="1:7">
      <c r="A192" s="345" t="s">
        <v>299</v>
      </c>
      <c r="B192" s="311"/>
      <c r="C192" s="327">
        <v>88</v>
      </c>
      <c r="D192" s="328">
        <v>74</v>
      </c>
      <c r="E192" s="328">
        <v>55</v>
      </c>
      <c r="F192" s="329">
        <v>39</v>
      </c>
      <c r="G192" s="641"/>
    </row>
    <row r="193" spans="1:7">
      <c r="A193" s="345" t="s">
        <v>157</v>
      </c>
      <c r="B193" s="311"/>
      <c r="C193" s="327">
        <v>280</v>
      </c>
      <c r="D193" s="328">
        <v>214</v>
      </c>
      <c r="E193" s="328">
        <v>162</v>
      </c>
      <c r="F193" s="329">
        <v>131</v>
      </c>
      <c r="G193" s="641"/>
    </row>
    <row r="194" spans="1:7">
      <c r="A194" s="345" t="s">
        <v>93</v>
      </c>
      <c r="B194" s="311"/>
      <c r="C194" s="312">
        <v>294</v>
      </c>
      <c r="D194" s="295">
        <v>241</v>
      </c>
      <c r="E194" s="295">
        <v>190</v>
      </c>
      <c r="F194" s="296">
        <v>157</v>
      </c>
      <c r="G194" s="641"/>
    </row>
    <row r="195" spans="1:7">
      <c r="A195" s="345" t="s">
        <v>300</v>
      </c>
      <c r="B195" s="311"/>
      <c r="C195" s="327">
        <v>88</v>
      </c>
      <c r="D195" s="328">
        <v>74</v>
      </c>
      <c r="E195" s="328">
        <v>55</v>
      </c>
      <c r="F195" s="329">
        <v>39</v>
      </c>
      <c r="G195" s="641"/>
    </row>
    <row r="196" spans="1:7">
      <c r="A196" s="345" t="s">
        <v>301</v>
      </c>
      <c r="B196" s="311"/>
      <c r="C196" s="327">
        <v>88</v>
      </c>
      <c r="D196" s="328">
        <v>74</v>
      </c>
      <c r="E196" s="328">
        <v>55</v>
      </c>
      <c r="F196" s="329">
        <v>39</v>
      </c>
      <c r="G196" s="641"/>
    </row>
    <row r="197" spans="1:7">
      <c r="A197" s="345" t="s">
        <v>302</v>
      </c>
      <c r="B197" s="311"/>
      <c r="C197" s="327">
        <v>88</v>
      </c>
      <c r="D197" s="328">
        <v>74</v>
      </c>
      <c r="E197" s="328">
        <v>55</v>
      </c>
      <c r="F197" s="329">
        <v>39</v>
      </c>
      <c r="G197" s="641"/>
    </row>
    <row r="198" spans="1:7">
      <c r="A198" s="345" t="s">
        <v>158</v>
      </c>
      <c r="B198" s="311"/>
      <c r="C198" s="327">
        <v>280</v>
      </c>
      <c r="D198" s="328">
        <v>214</v>
      </c>
      <c r="E198" s="328">
        <v>162</v>
      </c>
      <c r="F198" s="329">
        <v>131</v>
      </c>
      <c r="G198" s="641"/>
    </row>
    <row r="199" spans="1:7">
      <c r="A199" s="345" t="s">
        <v>303</v>
      </c>
      <c r="B199" s="311"/>
      <c r="C199" s="327">
        <v>88</v>
      </c>
      <c r="D199" s="328">
        <v>74</v>
      </c>
      <c r="E199" s="328">
        <v>55</v>
      </c>
      <c r="F199" s="329">
        <v>39</v>
      </c>
      <c r="G199" s="641"/>
    </row>
    <row r="200" spans="1:7">
      <c r="A200" s="345" t="s">
        <v>304</v>
      </c>
      <c r="B200" s="311"/>
      <c r="C200" s="327">
        <v>88</v>
      </c>
      <c r="D200" s="328">
        <v>74</v>
      </c>
      <c r="E200" s="328">
        <v>55</v>
      </c>
      <c r="F200" s="329">
        <v>39</v>
      </c>
      <c r="G200" s="641"/>
    </row>
    <row r="201" spans="1:7">
      <c r="A201" s="345" t="s">
        <v>305</v>
      </c>
      <c r="B201" s="311"/>
      <c r="C201" s="327">
        <v>88</v>
      </c>
      <c r="D201" s="328">
        <v>74</v>
      </c>
      <c r="E201" s="328">
        <v>55</v>
      </c>
      <c r="F201" s="329">
        <v>39</v>
      </c>
      <c r="G201" s="641"/>
    </row>
    <row r="202" spans="1:7">
      <c r="A202" s="345" t="s">
        <v>306</v>
      </c>
      <c r="B202" s="311"/>
      <c r="C202" s="327">
        <v>88</v>
      </c>
      <c r="D202" s="328">
        <v>74</v>
      </c>
      <c r="E202" s="328">
        <v>55</v>
      </c>
      <c r="F202" s="329">
        <v>39</v>
      </c>
      <c r="G202" s="641"/>
    </row>
    <row r="203" spans="1:7" ht="16.5" thickBot="1">
      <c r="A203" s="347" t="s">
        <v>307</v>
      </c>
      <c r="B203" s="331"/>
      <c r="C203" s="332">
        <v>88</v>
      </c>
      <c r="D203" s="333">
        <v>74</v>
      </c>
      <c r="E203" s="333">
        <v>55</v>
      </c>
      <c r="F203" s="334">
        <v>39</v>
      </c>
      <c r="G203" s="642"/>
    </row>
  </sheetData>
  <sheetProtection selectLockedCells="1" selectUnlockedCells="1"/>
  <sortState ref="A37:F203">
    <sortCondition ref="A37"/>
  </sortState>
  <mergeCells count="14">
    <mergeCell ref="X2:Y2"/>
    <mergeCell ref="M1:S1"/>
    <mergeCell ref="C2:F2"/>
    <mergeCell ref="U1:V1"/>
    <mergeCell ref="R2:S2"/>
    <mergeCell ref="U2:V2"/>
    <mergeCell ref="A1:G1"/>
    <mergeCell ref="R5:S5"/>
    <mergeCell ref="G4:G36"/>
    <mergeCell ref="G37:G203"/>
    <mergeCell ref="A2:B2"/>
    <mergeCell ref="N2:P2"/>
    <mergeCell ref="J7:K7"/>
    <mergeCell ref="J2:K2"/>
  </mergeCells>
  <phoneticPr fontId="7" type="noConversion"/>
  <pageMargins left="0.75" right="0.75" top="1" bottom="1" header="0.5" footer="0.5"/>
  <pageSetup paperSize="9" scale="61" orientation="portrait" horizontalDpi="4294967292" verticalDpi="4294967292" r:id="rId1"/>
  <headerFooter>
    <oddHeader>&amp;C2020. - C2  E+ KA226-227&amp;R&amp;"Times New Roman,Normál"Version 2020.09.07. - TKA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1">
    <tabColor indexed="48"/>
  </sheetPr>
  <dimension ref="A1:E13"/>
  <sheetViews>
    <sheetView zoomScaleNormal="100" zoomScaleSheetLayoutView="120" workbookViewId="0">
      <selection activeCell="D11" sqref="D11"/>
    </sheetView>
  </sheetViews>
  <sheetFormatPr defaultColWidth="9.42578125" defaultRowHeight="12.75"/>
  <cols>
    <col min="1" max="1" width="8.28515625" style="209" customWidth="1"/>
    <col min="2" max="2" width="20.140625" style="209" bestFit="1" customWidth="1"/>
    <col min="3" max="3" width="10.140625" style="209" bestFit="1" customWidth="1"/>
    <col min="4" max="4" width="7.42578125" style="209" bestFit="1" customWidth="1"/>
    <col min="5" max="5" width="78.42578125" style="208" customWidth="1"/>
    <col min="6" max="16384" width="9.42578125" style="208"/>
  </cols>
  <sheetData>
    <row r="1" spans="1:5" ht="13.5" customHeight="1">
      <c r="A1" s="97" t="s">
        <v>49</v>
      </c>
      <c r="B1" s="97"/>
      <c r="C1" s="97"/>
      <c r="D1" s="207"/>
    </row>
    <row r="2" spans="1:5" ht="13.5" thickBot="1">
      <c r="A2" s="98"/>
      <c r="B2" s="207"/>
      <c r="C2" s="207"/>
      <c r="D2" s="207"/>
    </row>
    <row r="3" spans="1:5" ht="13.5" thickBot="1">
      <c r="A3" s="2"/>
      <c r="B3" s="211" t="s">
        <v>392</v>
      </c>
      <c r="C3" s="553"/>
      <c r="D3" s="554"/>
      <c r="E3" s="555"/>
    </row>
    <row r="4" spans="1:5" ht="13.5" thickBot="1">
      <c r="A4" s="2"/>
      <c r="B4" s="4"/>
      <c r="C4" s="4"/>
      <c r="D4" s="210" t="str">
        <f>'Total grant requested'!K5</f>
        <v/>
      </c>
    </row>
    <row r="5" spans="1:5" ht="13.5" thickBot="1">
      <c r="B5" s="205" t="s">
        <v>130</v>
      </c>
      <c r="C5" s="213">
        <f>'Total grant requested'!J6</f>
        <v>0</v>
      </c>
      <c r="D5" s="358" t="str">
        <f>'Total grant requested'!K6</f>
        <v/>
      </c>
    </row>
    <row r="6" spans="1:5" ht="13.5" thickBot="1"/>
    <row r="7" spans="1:5" ht="13.5" thickBot="1">
      <c r="B7" s="206" t="s">
        <v>50</v>
      </c>
      <c r="C7" s="414"/>
      <c r="D7" s="212" t="s">
        <v>390</v>
      </c>
    </row>
    <row r="8" spans="1:5" ht="13.5" thickBot="1"/>
    <row r="9" spans="1:5" ht="13.5" thickBot="1">
      <c r="B9" s="205" t="s">
        <v>393</v>
      </c>
      <c r="C9" s="219"/>
      <c r="D9" s="218" t="str">
        <f>IF(OR(ISBLANK(Start),AND(Start&gt;=DATE(2021,3,1),Start&lt;DATE(2021,6,30))),"","It must be between 1 March 2021 and 30 June 2021!")</f>
        <v/>
      </c>
    </row>
    <row r="10" spans="1:5" ht="13.5" thickBot="1"/>
    <row r="11" spans="1:5" ht="13.5" thickBot="1">
      <c r="B11" s="214" t="s">
        <v>394</v>
      </c>
      <c r="C11" s="217" t="str">
        <f>IF(ISBLANK(Start),"",DATE(YEAR(Start),MONTH(Start)+$C$7,DAY(Start))-1)</f>
        <v/>
      </c>
      <c r="D11" s="216" t="str">
        <f>IF(OR(ISBLANK(Start),C11&lt;=DATE(2023,8,31)),"","It is not possible after 31 August 2023!")</f>
        <v/>
      </c>
    </row>
    <row r="12" spans="1:5" ht="13.5" thickBot="1"/>
    <row r="13" spans="1:5" ht="13.5" thickBot="1">
      <c r="B13" s="205" t="s">
        <v>151</v>
      </c>
      <c r="C13" s="215" t="str">
        <f>IF(ISBLANK(C7),"",VLOOKUP(C7,Limit,2,0))</f>
        <v/>
      </c>
    </row>
  </sheetData>
  <sheetProtection password="B516" sheet="1" objects="1" scenarios="1"/>
  <mergeCells count="1">
    <mergeCell ref="C3:E3"/>
  </mergeCells>
  <phoneticPr fontId="7" type="noConversion"/>
  <conditionalFormatting sqref="C5">
    <cfRule type="expression" dxfId="36" priority="1" stopIfTrue="1">
      <formula>D5&lt;&gt;""</formula>
    </cfRule>
    <cfRule type="cellIs" dxfId="35" priority="12" stopIfTrue="1" operator="equal">
      <formula>"ERROR"</formula>
    </cfRule>
  </conditionalFormatting>
  <conditionalFormatting sqref="C9">
    <cfRule type="expression" dxfId="34" priority="4" stopIfTrue="1">
      <formula>D9&lt;&gt;""</formula>
    </cfRule>
  </conditionalFormatting>
  <conditionalFormatting sqref="C11">
    <cfRule type="expression" dxfId="33" priority="2" stopIfTrue="1">
      <formula>D11&lt;&gt;""</formula>
    </cfRule>
  </conditionalFormatting>
  <printOptions horizontalCentered="1"/>
  <pageMargins left="0.35433070866141736" right="0.35433070866141736" top="1.3385826771653544" bottom="0.98425196850393704" header="0.51181102362204722" footer="0.51181102362204722"/>
  <pageSetup paperSize="9" orientation="landscape" r:id="rId1"/>
  <headerFooter scaleWithDoc="0">
    <oddHeader>&amp;C&amp;11 2020 - C2  E+ KA226 - HED&amp;RVersion: 2020.09.08. - TKA</oddHeader>
    <oddFooter>&amp;C&amp;"Arial,Félkövér"&amp;A</oddFooter>
  </headerFooter>
  <extLst>
    <ext xmlns:x14="http://schemas.microsoft.com/office/spreadsheetml/2009/9/main" uri="{CCE6A557-97BC-4b89-ADB6-D9C93CAAB3DF}">
      <x14:dataValidations xmlns:xm="http://schemas.microsoft.com/office/excel/2006/main" disablePrompts="1" count="1">
        <x14:dataValidation type="list" showInputMessage="1" showErrorMessage="1">
          <x14:formula1>
            <xm:f>Ceilings!$J$9:$J$21</xm:f>
          </x14:formula1>
          <xm:sqref>C7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AS35"/>
  <sheetViews>
    <sheetView showGridLines="0" zoomScale="78" zoomScaleNormal="78" zoomScalePageLayoutView="68" workbookViewId="0">
      <selection activeCell="M19" sqref="M19"/>
    </sheetView>
  </sheetViews>
  <sheetFormatPr defaultColWidth="8.85546875" defaultRowHeight="15"/>
  <cols>
    <col min="1" max="2" width="2.85546875" style="85" customWidth="1"/>
    <col min="3" max="3" width="39.85546875" style="85" customWidth="1"/>
    <col min="4" max="6" width="34.85546875" style="85" customWidth="1"/>
    <col min="7" max="7" width="15" style="426" customWidth="1"/>
    <col min="8" max="8" width="12.42578125" style="426" customWidth="1"/>
    <col min="9" max="9" width="1.7109375" style="85" customWidth="1"/>
    <col min="10" max="10" width="3.85546875" style="85" customWidth="1"/>
    <col min="11" max="18" width="3.85546875" style="85" bestFit="1" customWidth="1"/>
    <col min="19" max="45" width="4.85546875" style="85" bestFit="1" customWidth="1"/>
    <col min="46" max="16384" width="8.85546875" style="85"/>
  </cols>
  <sheetData>
    <row r="1" spans="3:45" ht="15.75" thickBot="1">
      <c r="C1" s="84" t="s">
        <v>336</v>
      </c>
      <c r="D1" s="84"/>
      <c r="E1" s="84"/>
      <c r="F1" s="84"/>
      <c r="G1" s="423"/>
      <c r="H1" s="423"/>
      <c r="I1" s="560" t="s">
        <v>337</v>
      </c>
      <c r="J1" s="561"/>
      <c r="K1" s="561"/>
      <c r="L1" s="561"/>
      <c r="M1" s="561"/>
      <c r="N1" s="561"/>
      <c r="O1" s="561"/>
      <c r="P1" s="561"/>
      <c r="Q1" s="561"/>
      <c r="R1" s="561"/>
      <c r="S1" s="561"/>
      <c r="T1" s="561"/>
      <c r="U1" s="561"/>
      <c r="V1" s="561"/>
      <c r="W1" s="561"/>
      <c r="X1" s="561"/>
      <c r="Y1" s="561"/>
      <c r="Z1" s="561"/>
      <c r="AA1" s="561"/>
      <c r="AB1" s="561"/>
      <c r="AC1" s="561"/>
      <c r="AD1" s="561"/>
      <c r="AE1" s="561"/>
      <c r="AF1" s="561"/>
      <c r="AG1" s="561"/>
      <c r="AH1" s="561"/>
      <c r="AI1" s="561"/>
      <c r="AJ1" s="561"/>
      <c r="AK1" s="561"/>
      <c r="AL1" s="561"/>
      <c r="AM1" s="561"/>
      <c r="AN1" s="561"/>
      <c r="AO1" s="561"/>
      <c r="AP1" s="561"/>
      <c r="AQ1" s="561"/>
      <c r="AR1" s="561"/>
      <c r="AS1" s="562"/>
    </row>
    <row r="2" spans="3:45" ht="15.75" thickBot="1">
      <c r="C2" s="84"/>
      <c r="D2" s="84"/>
      <c r="E2" s="84"/>
      <c r="F2" s="84"/>
      <c r="G2" s="423"/>
      <c r="H2" s="423"/>
    </row>
    <row r="3" spans="3:45" ht="15.75" thickBot="1">
      <c r="C3" s="556" t="s">
        <v>338</v>
      </c>
      <c r="D3" s="557"/>
      <c r="E3" s="557"/>
      <c r="F3" s="557"/>
      <c r="G3" s="557"/>
      <c r="H3" s="557"/>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8"/>
      <c r="AQ3" s="558"/>
      <c r="AR3" s="558"/>
      <c r="AS3" s="559"/>
    </row>
    <row r="4" spans="3:45">
      <c r="F4" s="91" t="s">
        <v>475</v>
      </c>
      <c r="G4" s="424"/>
      <c r="H4" s="424"/>
    </row>
    <row r="5" spans="3:45">
      <c r="C5" s="86"/>
      <c r="D5" s="564" t="s">
        <v>476</v>
      </c>
      <c r="E5" s="564" t="s">
        <v>477</v>
      </c>
      <c r="F5" s="564" t="s">
        <v>478</v>
      </c>
      <c r="G5" s="563" t="s">
        <v>480</v>
      </c>
      <c r="H5" s="563"/>
      <c r="I5" s="427"/>
      <c r="J5" s="87" t="s">
        <v>339</v>
      </c>
      <c r="K5" s="87" t="s">
        <v>340</v>
      </c>
      <c r="L5" s="87" t="s">
        <v>341</v>
      </c>
      <c r="M5" s="87" t="s">
        <v>342</v>
      </c>
      <c r="N5" s="87" t="s">
        <v>343</v>
      </c>
      <c r="O5" s="87" t="s">
        <v>344</v>
      </c>
      <c r="P5" s="87" t="s">
        <v>345</v>
      </c>
      <c r="Q5" s="87" t="s">
        <v>346</v>
      </c>
      <c r="R5" s="87" t="s">
        <v>347</v>
      </c>
      <c r="S5" s="87" t="s">
        <v>348</v>
      </c>
      <c r="T5" s="87" t="s">
        <v>349</v>
      </c>
      <c r="U5" s="87" t="s">
        <v>350</v>
      </c>
      <c r="V5" s="87" t="s">
        <v>351</v>
      </c>
      <c r="W5" s="87" t="s">
        <v>352</v>
      </c>
      <c r="X5" s="87" t="s">
        <v>353</v>
      </c>
      <c r="Y5" s="87" t="s">
        <v>354</v>
      </c>
      <c r="Z5" s="87" t="s">
        <v>355</v>
      </c>
      <c r="AA5" s="87" t="s">
        <v>356</v>
      </c>
      <c r="AB5" s="87" t="s">
        <v>357</v>
      </c>
      <c r="AC5" s="87" t="s">
        <v>358</v>
      </c>
      <c r="AD5" s="87" t="s">
        <v>359</v>
      </c>
      <c r="AE5" s="87" t="s">
        <v>360</v>
      </c>
      <c r="AF5" s="87" t="s">
        <v>361</v>
      </c>
      <c r="AG5" s="87" t="s">
        <v>362</v>
      </c>
      <c r="AH5" s="87" t="s">
        <v>363</v>
      </c>
      <c r="AI5" s="87" t="s">
        <v>364</v>
      </c>
      <c r="AJ5" s="87" t="s">
        <v>365</v>
      </c>
      <c r="AK5" s="87" t="s">
        <v>366</v>
      </c>
      <c r="AL5" s="87" t="s">
        <v>367</v>
      </c>
      <c r="AM5" s="87" t="s">
        <v>368</v>
      </c>
      <c r="AN5" s="87" t="s">
        <v>369</v>
      </c>
      <c r="AO5" s="87" t="s">
        <v>370</v>
      </c>
      <c r="AP5" s="87" t="s">
        <v>371</v>
      </c>
      <c r="AQ5" s="87" t="s">
        <v>372</v>
      </c>
      <c r="AR5" s="87" t="s">
        <v>373</v>
      </c>
      <c r="AS5" s="87" t="s">
        <v>374</v>
      </c>
    </row>
    <row r="6" spans="3:45">
      <c r="C6" s="428" t="s">
        <v>375</v>
      </c>
      <c r="D6" s="564"/>
      <c r="E6" s="564"/>
      <c r="F6" s="564"/>
      <c r="G6" s="425" t="s">
        <v>481</v>
      </c>
      <c r="H6" s="425" t="s">
        <v>482</v>
      </c>
      <c r="I6" s="88"/>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c r="AS6" s="90"/>
    </row>
    <row r="7" spans="3:45">
      <c r="C7" s="201"/>
      <c r="D7" s="201"/>
      <c r="E7" s="201"/>
      <c r="F7" s="201"/>
      <c r="G7" s="425"/>
      <c r="H7" s="425"/>
      <c r="I7" s="204"/>
      <c r="J7" s="202"/>
      <c r="K7" s="202"/>
      <c r="L7" s="202"/>
      <c r="M7" s="202"/>
      <c r="N7" s="202"/>
      <c r="O7" s="202"/>
      <c r="P7" s="202"/>
      <c r="Q7" s="202"/>
      <c r="R7" s="202"/>
      <c r="S7" s="202"/>
      <c r="T7" s="202"/>
      <c r="U7" s="202"/>
      <c r="V7" s="202"/>
      <c r="W7" s="202"/>
      <c r="X7" s="202"/>
      <c r="Y7" s="202"/>
      <c r="Z7" s="202"/>
      <c r="AA7" s="202"/>
      <c r="AB7" s="202"/>
      <c r="AC7" s="202"/>
      <c r="AD7" s="202"/>
      <c r="AE7" s="202"/>
      <c r="AF7" s="202"/>
      <c r="AG7" s="202"/>
      <c r="AH7" s="202"/>
      <c r="AI7" s="203"/>
      <c r="AJ7" s="203"/>
      <c r="AK7" s="203"/>
      <c r="AL7" s="203"/>
      <c r="AM7" s="203"/>
      <c r="AN7" s="203"/>
      <c r="AO7" s="203"/>
      <c r="AP7" s="203"/>
      <c r="AQ7" s="203"/>
      <c r="AR7" s="203"/>
      <c r="AS7" s="203"/>
    </row>
    <row r="8" spans="3:45">
      <c r="C8" s="201"/>
      <c r="D8" s="201"/>
      <c r="E8" s="201"/>
      <c r="F8" s="201"/>
      <c r="G8" s="425"/>
      <c r="H8" s="425"/>
      <c r="I8" s="204"/>
      <c r="J8" s="202"/>
      <c r="K8" s="202"/>
      <c r="L8" s="202"/>
      <c r="M8" s="202"/>
      <c r="N8" s="202"/>
      <c r="O8" s="202"/>
      <c r="P8" s="202"/>
      <c r="Q8" s="202"/>
      <c r="R8" s="202"/>
      <c r="S8" s="202"/>
      <c r="T8" s="202"/>
      <c r="U8" s="202"/>
      <c r="V8" s="202"/>
      <c r="W8" s="202"/>
      <c r="X8" s="202"/>
      <c r="Y8" s="202"/>
      <c r="Z8" s="202"/>
      <c r="AA8" s="202"/>
      <c r="AB8" s="202"/>
      <c r="AC8" s="202"/>
      <c r="AD8" s="202"/>
      <c r="AE8" s="202"/>
      <c r="AF8" s="202"/>
      <c r="AG8" s="202"/>
      <c r="AH8" s="202"/>
      <c r="AI8" s="203"/>
      <c r="AJ8" s="203"/>
      <c r="AK8" s="203"/>
      <c r="AL8" s="203"/>
      <c r="AM8" s="203"/>
      <c r="AN8" s="203"/>
      <c r="AO8" s="203"/>
      <c r="AP8" s="203"/>
      <c r="AQ8" s="203"/>
      <c r="AR8" s="203"/>
      <c r="AS8" s="203"/>
    </row>
    <row r="9" spans="3:45">
      <c r="C9" s="201"/>
      <c r="D9" s="201"/>
      <c r="E9" s="201"/>
      <c r="F9" s="201"/>
      <c r="G9" s="425"/>
      <c r="H9" s="425"/>
      <c r="I9" s="204"/>
      <c r="J9" s="202"/>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3"/>
      <c r="AJ9" s="203"/>
      <c r="AK9" s="203"/>
      <c r="AL9" s="203"/>
      <c r="AM9" s="203"/>
      <c r="AN9" s="203"/>
      <c r="AO9" s="203"/>
      <c r="AP9" s="203"/>
      <c r="AQ9" s="203"/>
      <c r="AR9" s="203"/>
      <c r="AS9" s="203"/>
    </row>
    <row r="10" spans="3:45">
      <c r="C10" s="201"/>
      <c r="D10" s="201"/>
      <c r="E10" s="201"/>
      <c r="F10" s="201"/>
      <c r="G10" s="425"/>
      <c r="H10" s="425"/>
      <c r="I10" s="204"/>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3"/>
      <c r="AJ10" s="203"/>
      <c r="AK10" s="203"/>
      <c r="AL10" s="203"/>
      <c r="AM10" s="203"/>
      <c r="AN10" s="203"/>
      <c r="AO10" s="203"/>
      <c r="AP10" s="203"/>
      <c r="AQ10" s="203"/>
      <c r="AR10" s="203"/>
      <c r="AS10" s="203"/>
    </row>
    <row r="11" spans="3:45">
      <c r="C11" s="201"/>
      <c r="D11" s="201"/>
      <c r="E11" s="201"/>
      <c r="F11" s="201"/>
      <c r="G11" s="425"/>
      <c r="H11" s="425"/>
      <c r="I11" s="204"/>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3"/>
      <c r="AJ11" s="203"/>
      <c r="AK11" s="203"/>
      <c r="AL11" s="203"/>
      <c r="AM11" s="203"/>
      <c r="AN11" s="203"/>
      <c r="AO11" s="203"/>
      <c r="AP11" s="203"/>
      <c r="AQ11" s="203"/>
      <c r="AR11" s="203"/>
      <c r="AS11" s="203"/>
    </row>
    <row r="12" spans="3:45">
      <c r="C12" s="201"/>
      <c r="D12" s="201"/>
      <c r="E12" s="201"/>
      <c r="F12" s="201"/>
      <c r="G12" s="425"/>
      <c r="H12" s="425"/>
      <c r="I12" s="204"/>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3"/>
      <c r="AJ12" s="203"/>
      <c r="AK12" s="203"/>
      <c r="AL12" s="203"/>
      <c r="AM12" s="203"/>
      <c r="AN12" s="203"/>
      <c r="AO12" s="203"/>
      <c r="AP12" s="203"/>
      <c r="AQ12" s="203"/>
      <c r="AR12" s="203"/>
      <c r="AS12" s="203"/>
    </row>
    <row r="13" spans="3:45">
      <c r="C13" s="201"/>
      <c r="D13" s="201"/>
      <c r="E13" s="201"/>
      <c r="F13" s="201"/>
      <c r="G13" s="425"/>
      <c r="H13" s="425"/>
      <c r="I13" s="204"/>
      <c r="J13" s="202"/>
      <c r="K13" s="202"/>
      <c r="L13" s="202"/>
      <c r="M13" s="202"/>
      <c r="N13" s="202"/>
      <c r="O13" s="202"/>
      <c r="P13" s="202"/>
      <c r="Q13" s="202"/>
      <c r="R13" s="202"/>
      <c r="S13" s="202"/>
      <c r="T13" s="202"/>
      <c r="U13" s="202"/>
      <c r="V13" s="202"/>
      <c r="W13" s="202"/>
      <c r="X13" s="202"/>
      <c r="Y13" s="202"/>
      <c r="Z13" s="202"/>
      <c r="AA13" s="202"/>
      <c r="AB13" s="202"/>
      <c r="AC13" s="202"/>
      <c r="AD13" s="202"/>
      <c r="AE13" s="202"/>
      <c r="AF13" s="202"/>
      <c r="AG13" s="202"/>
      <c r="AH13" s="202"/>
      <c r="AI13" s="203"/>
      <c r="AJ13" s="203"/>
      <c r="AK13" s="203"/>
      <c r="AL13" s="203"/>
      <c r="AM13" s="203"/>
      <c r="AN13" s="203"/>
      <c r="AO13" s="203"/>
      <c r="AP13" s="203"/>
      <c r="AQ13" s="203"/>
      <c r="AR13" s="203"/>
      <c r="AS13" s="203"/>
    </row>
    <row r="14" spans="3:45">
      <c r="C14" s="201"/>
      <c r="D14" s="201"/>
      <c r="E14" s="201"/>
      <c r="F14" s="201"/>
      <c r="G14" s="425"/>
      <c r="H14" s="425"/>
      <c r="I14" s="204"/>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3"/>
      <c r="AJ14" s="203"/>
      <c r="AK14" s="203"/>
      <c r="AL14" s="203"/>
      <c r="AM14" s="203"/>
      <c r="AN14" s="203"/>
      <c r="AO14" s="203"/>
      <c r="AP14" s="203"/>
      <c r="AQ14" s="203"/>
      <c r="AR14" s="203"/>
      <c r="AS14" s="203"/>
    </row>
    <row r="15" spans="3:45">
      <c r="C15" s="201"/>
      <c r="D15" s="201"/>
      <c r="E15" s="201"/>
      <c r="F15" s="201"/>
      <c r="G15" s="425"/>
      <c r="H15" s="425"/>
      <c r="I15" s="204"/>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3"/>
      <c r="AJ15" s="203"/>
      <c r="AK15" s="203"/>
      <c r="AL15" s="203"/>
      <c r="AM15" s="203"/>
      <c r="AN15" s="203"/>
      <c r="AO15" s="203"/>
      <c r="AP15" s="203"/>
      <c r="AQ15" s="203"/>
      <c r="AR15" s="203"/>
      <c r="AS15" s="203"/>
    </row>
    <row r="16" spans="3:45">
      <c r="C16" s="201"/>
      <c r="D16" s="201"/>
      <c r="E16" s="201"/>
      <c r="F16" s="201"/>
      <c r="G16" s="425"/>
      <c r="H16" s="425"/>
      <c r="I16" s="204"/>
      <c r="J16" s="202"/>
      <c r="K16" s="202"/>
      <c r="L16" s="202"/>
      <c r="M16" s="202"/>
      <c r="N16" s="202"/>
      <c r="O16" s="202"/>
      <c r="P16" s="202"/>
      <c r="Q16" s="202"/>
      <c r="R16" s="202"/>
      <c r="S16" s="202"/>
      <c r="T16" s="202"/>
      <c r="U16" s="202"/>
      <c r="V16" s="202"/>
      <c r="W16" s="202"/>
      <c r="X16" s="202"/>
      <c r="Y16" s="202"/>
      <c r="Z16" s="202"/>
      <c r="AA16" s="202"/>
      <c r="AB16" s="202"/>
      <c r="AC16" s="202"/>
      <c r="AD16" s="202"/>
      <c r="AE16" s="202"/>
      <c r="AF16" s="202"/>
      <c r="AG16" s="202"/>
      <c r="AH16" s="202"/>
      <c r="AI16" s="203"/>
      <c r="AJ16" s="203"/>
      <c r="AK16" s="203"/>
      <c r="AL16" s="203"/>
      <c r="AM16" s="203"/>
      <c r="AN16" s="203"/>
      <c r="AO16" s="203"/>
      <c r="AP16" s="203"/>
      <c r="AQ16" s="203"/>
      <c r="AR16" s="203"/>
      <c r="AS16" s="203"/>
    </row>
    <row r="17" spans="3:45">
      <c r="C17" s="201"/>
      <c r="D17" s="201"/>
      <c r="E17" s="201"/>
      <c r="F17" s="201"/>
      <c r="G17" s="425"/>
      <c r="H17" s="425"/>
      <c r="I17" s="204"/>
      <c r="J17" s="202"/>
      <c r="K17" s="202"/>
      <c r="L17" s="202"/>
      <c r="M17" s="202"/>
      <c r="N17" s="202"/>
      <c r="O17" s="202"/>
      <c r="P17" s="202"/>
      <c r="Q17" s="202"/>
      <c r="R17" s="202"/>
      <c r="S17" s="202"/>
      <c r="T17" s="202"/>
      <c r="U17" s="202"/>
      <c r="V17" s="202"/>
      <c r="W17" s="202"/>
      <c r="X17" s="202"/>
      <c r="Y17" s="202"/>
      <c r="Z17" s="202"/>
      <c r="AA17" s="202"/>
      <c r="AB17" s="202"/>
      <c r="AC17" s="202"/>
      <c r="AD17" s="202"/>
      <c r="AE17" s="202"/>
      <c r="AF17" s="202"/>
      <c r="AG17" s="202"/>
      <c r="AH17" s="202"/>
      <c r="AI17" s="203"/>
      <c r="AJ17" s="203"/>
      <c r="AK17" s="203"/>
      <c r="AL17" s="203"/>
      <c r="AM17" s="203"/>
      <c r="AN17" s="203"/>
      <c r="AO17" s="203"/>
      <c r="AP17" s="203"/>
      <c r="AQ17" s="203"/>
      <c r="AR17" s="203"/>
      <c r="AS17" s="203"/>
    </row>
    <row r="18" spans="3:45">
      <c r="C18" s="201"/>
      <c r="D18" s="201"/>
      <c r="E18" s="201"/>
      <c r="F18" s="201"/>
      <c r="G18" s="425"/>
      <c r="H18" s="425"/>
      <c r="I18" s="204"/>
      <c r="J18" s="202"/>
      <c r="K18" s="202"/>
      <c r="L18" s="202"/>
      <c r="M18" s="202"/>
      <c r="N18" s="202"/>
      <c r="O18" s="202"/>
      <c r="P18" s="202"/>
      <c r="Q18" s="202"/>
      <c r="R18" s="202"/>
      <c r="S18" s="202"/>
      <c r="T18" s="202"/>
      <c r="U18" s="202"/>
      <c r="V18" s="202"/>
      <c r="W18" s="202"/>
      <c r="X18" s="202"/>
      <c r="Y18" s="202"/>
      <c r="Z18" s="202"/>
      <c r="AA18" s="202"/>
      <c r="AB18" s="202"/>
      <c r="AC18" s="202"/>
      <c r="AD18" s="202"/>
      <c r="AE18" s="202"/>
      <c r="AF18" s="202"/>
      <c r="AG18" s="202"/>
      <c r="AH18" s="202"/>
      <c r="AI18" s="203"/>
      <c r="AJ18" s="203"/>
      <c r="AK18" s="203"/>
      <c r="AL18" s="203"/>
      <c r="AM18" s="203"/>
      <c r="AN18" s="203"/>
      <c r="AO18" s="203"/>
      <c r="AP18" s="203"/>
      <c r="AQ18" s="203"/>
      <c r="AR18" s="203"/>
      <c r="AS18" s="203"/>
    </row>
    <row r="19" spans="3:45">
      <c r="C19" s="201"/>
      <c r="D19" s="201"/>
      <c r="E19" s="201"/>
      <c r="F19" s="201"/>
      <c r="G19" s="425"/>
      <c r="H19" s="425"/>
      <c r="I19" s="204"/>
      <c r="J19" s="202"/>
      <c r="K19" s="202"/>
      <c r="L19" s="202"/>
      <c r="M19" s="202"/>
      <c r="N19" s="202"/>
      <c r="O19" s="202"/>
      <c r="P19" s="202"/>
      <c r="Q19" s="202"/>
      <c r="R19" s="202"/>
      <c r="S19" s="202"/>
      <c r="T19" s="202"/>
      <c r="U19" s="202"/>
      <c r="V19" s="202"/>
      <c r="W19" s="202"/>
      <c r="X19" s="202"/>
      <c r="Y19" s="202"/>
      <c r="Z19" s="202"/>
      <c r="AA19" s="202"/>
      <c r="AB19" s="202"/>
      <c r="AC19" s="202"/>
      <c r="AD19" s="202"/>
      <c r="AE19" s="202"/>
      <c r="AF19" s="202"/>
      <c r="AG19" s="202"/>
      <c r="AH19" s="202"/>
      <c r="AI19" s="203"/>
      <c r="AJ19" s="203"/>
      <c r="AK19" s="203"/>
      <c r="AL19" s="203"/>
      <c r="AM19" s="203"/>
      <c r="AN19" s="203"/>
      <c r="AO19" s="203"/>
      <c r="AP19" s="203"/>
      <c r="AQ19" s="203"/>
      <c r="AR19" s="203"/>
      <c r="AS19" s="203"/>
    </row>
    <row r="20" spans="3:45">
      <c r="C20" s="201"/>
      <c r="D20" s="201"/>
      <c r="E20" s="201"/>
      <c r="F20" s="201"/>
      <c r="G20" s="425"/>
      <c r="H20" s="425"/>
      <c r="I20" s="204"/>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3"/>
      <c r="AJ20" s="203"/>
      <c r="AK20" s="203"/>
      <c r="AL20" s="203"/>
      <c r="AM20" s="203"/>
      <c r="AN20" s="203"/>
      <c r="AO20" s="203"/>
      <c r="AP20" s="203"/>
      <c r="AQ20" s="203"/>
      <c r="AR20" s="203"/>
      <c r="AS20" s="203"/>
    </row>
    <row r="21" spans="3:45">
      <c r="C21" s="201"/>
      <c r="D21" s="201"/>
      <c r="E21" s="201"/>
      <c r="F21" s="201"/>
      <c r="G21" s="425"/>
      <c r="H21" s="425"/>
      <c r="I21" s="204"/>
      <c r="J21" s="202"/>
      <c r="K21" s="202"/>
      <c r="L21" s="202"/>
      <c r="M21" s="202"/>
      <c r="N21" s="202"/>
      <c r="O21" s="202"/>
      <c r="P21" s="202"/>
      <c r="Q21" s="202"/>
      <c r="R21" s="202"/>
      <c r="S21" s="202"/>
      <c r="T21" s="202"/>
      <c r="U21" s="202"/>
      <c r="V21" s="202"/>
      <c r="W21" s="202"/>
      <c r="X21" s="202"/>
      <c r="Y21" s="202"/>
      <c r="Z21" s="202"/>
      <c r="AA21" s="202"/>
      <c r="AB21" s="202"/>
      <c r="AC21" s="202"/>
      <c r="AD21" s="202"/>
      <c r="AE21" s="202"/>
      <c r="AF21" s="202"/>
      <c r="AG21" s="202"/>
      <c r="AH21" s="202"/>
      <c r="AI21" s="203"/>
      <c r="AJ21" s="203"/>
      <c r="AK21" s="203"/>
      <c r="AL21" s="203"/>
      <c r="AM21" s="203"/>
      <c r="AN21" s="203"/>
      <c r="AO21" s="203"/>
      <c r="AP21" s="203"/>
      <c r="AQ21" s="203"/>
      <c r="AR21" s="203"/>
      <c r="AS21" s="203"/>
    </row>
    <row r="22" spans="3:45">
      <c r="C22" s="201"/>
      <c r="D22" s="201"/>
      <c r="E22" s="201"/>
      <c r="F22" s="201"/>
      <c r="G22" s="425"/>
      <c r="H22" s="425"/>
      <c r="I22" s="204"/>
      <c r="J22" s="202"/>
      <c r="K22" s="202"/>
      <c r="L22" s="202"/>
      <c r="M22" s="202"/>
      <c r="N22" s="202"/>
      <c r="O22" s="202"/>
      <c r="P22" s="202"/>
      <c r="Q22" s="202"/>
      <c r="R22" s="202"/>
      <c r="S22" s="202"/>
      <c r="T22" s="202"/>
      <c r="U22" s="202"/>
      <c r="V22" s="202"/>
      <c r="W22" s="202"/>
      <c r="X22" s="202"/>
      <c r="Y22" s="202"/>
      <c r="Z22" s="202"/>
      <c r="AA22" s="202"/>
      <c r="AB22" s="202"/>
      <c r="AC22" s="202"/>
      <c r="AD22" s="202"/>
      <c r="AE22" s="202"/>
      <c r="AF22" s="202"/>
      <c r="AG22" s="202"/>
      <c r="AH22" s="202"/>
      <c r="AI22" s="203"/>
      <c r="AJ22" s="203"/>
      <c r="AK22" s="203"/>
      <c r="AL22" s="203"/>
      <c r="AM22" s="203"/>
      <c r="AN22" s="203"/>
      <c r="AO22" s="203"/>
      <c r="AP22" s="203"/>
      <c r="AQ22" s="203"/>
      <c r="AR22" s="203"/>
      <c r="AS22" s="203"/>
    </row>
    <row r="23" spans="3:45">
      <c r="C23" s="201"/>
      <c r="D23" s="201"/>
      <c r="E23" s="201"/>
      <c r="F23" s="201"/>
      <c r="G23" s="425"/>
      <c r="H23" s="425"/>
      <c r="I23" s="204"/>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3"/>
      <c r="AJ23" s="203"/>
      <c r="AK23" s="203"/>
      <c r="AL23" s="203"/>
      <c r="AM23" s="203"/>
      <c r="AN23" s="203"/>
      <c r="AO23" s="203"/>
      <c r="AP23" s="203"/>
      <c r="AQ23" s="203"/>
      <c r="AR23" s="203"/>
      <c r="AS23" s="203"/>
    </row>
    <row r="24" spans="3:45">
      <c r="C24" s="201"/>
      <c r="D24" s="201"/>
      <c r="E24" s="201"/>
      <c r="F24" s="201"/>
      <c r="G24" s="425"/>
      <c r="H24" s="425"/>
      <c r="I24" s="204"/>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3"/>
      <c r="AJ24" s="203"/>
      <c r="AK24" s="203"/>
      <c r="AL24" s="203"/>
      <c r="AM24" s="203"/>
      <c r="AN24" s="203"/>
      <c r="AO24" s="203"/>
      <c r="AP24" s="203"/>
      <c r="AQ24" s="203"/>
      <c r="AR24" s="203"/>
      <c r="AS24" s="203"/>
    </row>
    <row r="25" spans="3:45">
      <c r="C25" s="201"/>
      <c r="D25" s="201"/>
      <c r="E25" s="201"/>
      <c r="F25" s="201"/>
      <c r="G25" s="425"/>
      <c r="H25" s="425"/>
      <c r="I25" s="204"/>
      <c r="J25" s="202"/>
      <c r="K25" s="202"/>
      <c r="L25" s="202"/>
      <c r="M25" s="202"/>
      <c r="N25" s="202"/>
      <c r="O25" s="202"/>
      <c r="P25" s="202"/>
      <c r="Q25" s="202"/>
      <c r="R25" s="202"/>
      <c r="S25" s="202"/>
      <c r="T25" s="202"/>
      <c r="U25" s="202"/>
      <c r="V25" s="202"/>
      <c r="W25" s="202"/>
      <c r="X25" s="202"/>
      <c r="Y25" s="202"/>
      <c r="Z25" s="202"/>
      <c r="AA25" s="202"/>
      <c r="AB25" s="202"/>
      <c r="AC25" s="202"/>
      <c r="AD25" s="202"/>
      <c r="AE25" s="202"/>
      <c r="AF25" s="202"/>
      <c r="AG25" s="202"/>
      <c r="AH25" s="202"/>
      <c r="AI25" s="203"/>
      <c r="AJ25" s="203"/>
      <c r="AK25" s="203"/>
      <c r="AL25" s="203"/>
      <c r="AM25" s="203"/>
      <c r="AN25" s="203"/>
      <c r="AO25" s="203"/>
      <c r="AP25" s="203"/>
      <c r="AQ25" s="203"/>
      <c r="AR25" s="203"/>
      <c r="AS25" s="203"/>
    </row>
    <row r="26" spans="3:45">
      <c r="C26" s="201"/>
      <c r="D26" s="201"/>
      <c r="E26" s="201"/>
      <c r="F26" s="201"/>
      <c r="G26" s="425"/>
      <c r="H26" s="425"/>
      <c r="I26" s="204"/>
      <c r="J26" s="202"/>
      <c r="K26" s="202"/>
      <c r="L26" s="202"/>
      <c r="M26" s="202"/>
      <c r="N26" s="202"/>
      <c r="O26" s="202"/>
      <c r="P26" s="202"/>
      <c r="Q26" s="202"/>
      <c r="R26" s="202"/>
      <c r="S26" s="202"/>
      <c r="T26" s="202"/>
      <c r="U26" s="202"/>
      <c r="V26" s="202"/>
      <c r="W26" s="202"/>
      <c r="X26" s="202"/>
      <c r="Y26" s="202"/>
      <c r="Z26" s="202"/>
      <c r="AA26" s="202"/>
      <c r="AB26" s="202"/>
      <c r="AC26" s="202"/>
      <c r="AD26" s="202"/>
      <c r="AE26" s="202"/>
      <c r="AF26" s="202"/>
      <c r="AG26" s="202"/>
      <c r="AH26" s="202"/>
      <c r="AI26" s="203"/>
      <c r="AJ26" s="203"/>
      <c r="AK26" s="203"/>
      <c r="AL26" s="203"/>
      <c r="AM26" s="203"/>
      <c r="AN26" s="203"/>
      <c r="AO26" s="203"/>
      <c r="AP26" s="203"/>
      <c r="AQ26" s="203"/>
      <c r="AR26" s="203"/>
      <c r="AS26" s="203"/>
    </row>
    <row r="27" spans="3:45">
      <c r="C27" s="201"/>
      <c r="D27" s="201"/>
      <c r="E27" s="201"/>
      <c r="F27" s="201"/>
      <c r="G27" s="425"/>
      <c r="H27" s="425"/>
      <c r="I27" s="204"/>
      <c r="J27" s="202"/>
      <c r="K27" s="202"/>
      <c r="L27" s="202"/>
      <c r="M27" s="202"/>
      <c r="N27" s="202"/>
      <c r="O27" s="202"/>
      <c r="P27" s="202"/>
      <c r="Q27" s="202"/>
      <c r="R27" s="202"/>
      <c r="S27" s="202"/>
      <c r="T27" s="202"/>
      <c r="U27" s="202"/>
      <c r="V27" s="202"/>
      <c r="W27" s="202"/>
      <c r="X27" s="202"/>
      <c r="Y27" s="202"/>
      <c r="Z27" s="202"/>
      <c r="AA27" s="202"/>
      <c r="AB27" s="202"/>
      <c r="AC27" s="202"/>
      <c r="AD27" s="202"/>
      <c r="AE27" s="202"/>
      <c r="AF27" s="202"/>
      <c r="AG27" s="202"/>
      <c r="AH27" s="202"/>
      <c r="AI27" s="203"/>
      <c r="AJ27" s="203"/>
      <c r="AK27" s="203"/>
      <c r="AL27" s="203"/>
      <c r="AM27" s="203"/>
      <c r="AN27" s="203"/>
      <c r="AO27" s="203"/>
      <c r="AP27" s="203"/>
      <c r="AQ27" s="203"/>
      <c r="AR27" s="203"/>
      <c r="AS27" s="203"/>
    </row>
    <row r="28" spans="3:45">
      <c r="C28" s="201"/>
      <c r="D28" s="201"/>
      <c r="E28" s="201"/>
      <c r="F28" s="201"/>
      <c r="G28" s="425"/>
      <c r="H28" s="425"/>
      <c r="I28" s="204"/>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3"/>
      <c r="AJ28" s="203"/>
      <c r="AK28" s="203"/>
      <c r="AL28" s="203"/>
      <c r="AM28" s="203"/>
      <c r="AN28" s="203"/>
      <c r="AO28" s="203"/>
      <c r="AP28" s="203"/>
      <c r="AQ28" s="203"/>
      <c r="AR28" s="203"/>
      <c r="AS28" s="203"/>
    </row>
    <row r="29" spans="3:45">
      <c r="C29" s="201"/>
      <c r="D29" s="201"/>
      <c r="E29" s="201"/>
      <c r="F29" s="201"/>
      <c r="G29" s="425"/>
      <c r="H29" s="425"/>
      <c r="I29" s="204"/>
      <c r="J29" s="202"/>
      <c r="K29" s="202"/>
      <c r="L29" s="202"/>
      <c r="M29" s="202"/>
      <c r="N29" s="202"/>
      <c r="O29" s="202"/>
      <c r="P29" s="202"/>
      <c r="Q29" s="202"/>
      <c r="R29" s="202"/>
      <c r="S29" s="202"/>
      <c r="T29" s="202"/>
      <c r="U29" s="202"/>
      <c r="V29" s="202"/>
      <c r="W29" s="202"/>
      <c r="X29" s="202"/>
      <c r="Y29" s="202"/>
      <c r="Z29" s="202"/>
      <c r="AA29" s="202"/>
      <c r="AB29" s="202"/>
      <c r="AC29" s="202"/>
      <c r="AD29" s="202"/>
      <c r="AE29" s="202"/>
      <c r="AF29" s="202"/>
      <c r="AG29" s="202"/>
      <c r="AH29" s="202"/>
      <c r="AI29" s="203"/>
      <c r="AJ29" s="203"/>
      <c r="AK29" s="203"/>
      <c r="AL29" s="203"/>
      <c r="AM29" s="203"/>
      <c r="AN29" s="203"/>
      <c r="AO29" s="203"/>
      <c r="AP29" s="203"/>
      <c r="AQ29" s="203"/>
      <c r="AR29" s="203"/>
      <c r="AS29" s="203"/>
    </row>
    <row r="30" spans="3:45">
      <c r="C30" s="201"/>
      <c r="D30" s="201"/>
      <c r="E30" s="201"/>
      <c r="F30" s="201"/>
      <c r="G30" s="425"/>
      <c r="H30" s="425"/>
      <c r="I30" s="204"/>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3"/>
      <c r="AJ30" s="203"/>
      <c r="AK30" s="203"/>
      <c r="AL30" s="203"/>
      <c r="AM30" s="203"/>
      <c r="AN30" s="203"/>
      <c r="AO30" s="203"/>
      <c r="AP30" s="203"/>
      <c r="AQ30" s="203"/>
      <c r="AR30" s="203"/>
      <c r="AS30" s="203"/>
    </row>
    <row r="31" spans="3:45">
      <c r="C31" s="201"/>
      <c r="D31" s="201"/>
      <c r="E31" s="201"/>
      <c r="F31" s="201"/>
      <c r="G31" s="425"/>
      <c r="H31" s="425"/>
      <c r="I31" s="204"/>
      <c r="J31" s="202"/>
      <c r="K31" s="202"/>
      <c r="L31" s="202"/>
      <c r="M31" s="202"/>
      <c r="N31" s="202"/>
      <c r="O31" s="202"/>
      <c r="P31" s="202"/>
      <c r="Q31" s="202"/>
      <c r="R31" s="202"/>
      <c r="S31" s="202"/>
      <c r="T31" s="202"/>
      <c r="U31" s="202"/>
      <c r="V31" s="202"/>
      <c r="W31" s="202"/>
      <c r="X31" s="202"/>
      <c r="Y31" s="202"/>
      <c r="Z31" s="202"/>
      <c r="AA31" s="202"/>
      <c r="AB31" s="202"/>
      <c r="AC31" s="202"/>
      <c r="AD31" s="202"/>
      <c r="AE31" s="202"/>
      <c r="AF31" s="202"/>
      <c r="AG31" s="202"/>
      <c r="AH31" s="202"/>
      <c r="AI31" s="203"/>
      <c r="AJ31" s="203"/>
      <c r="AK31" s="203"/>
      <c r="AL31" s="203"/>
      <c r="AM31" s="203"/>
      <c r="AN31" s="203"/>
      <c r="AO31" s="203"/>
      <c r="AP31" s="203"/>
      <c r="AQ31" s="203"/>
      <c r="AR31" s="203"/>
      <c r="AS31" s="203"/>
    </row>
    <row r="32" spans="3:45">
      <c r="C32" s="201"/>
      <c r="D32" s="201"/>
      <c r="E32" s="201"/>
      <c r="F32" s="201"/>
      <c r="G32" s="425"/>
      <c r="H32" s="425"/>
      <c r="I32" s="204"/>
      <c r="J32" s="202"/>
      <c r="K32" s="202"/>
      <c r="L32" s="202"/>
      <c r="M32" s="202"/>
      <c r="N32" s="202"/>
      <c r="O32" s="202"/>
      <c r="P32" s="202"/>
      <c r="Q32" s="202"/>
      <c r="R32" s="202"/>
      <c r="S32" s="202"/>
      <c r="T32" s="202"/>
      <c r="U32" s="202"/>
      <c r="V32" s="202"/>
      <c r="W32" s="202"/>
      <c r="X32" s="202"/>
      <c r="Y32" s="202"/>
      <c r="Z32" s="202"/>
      <c r="AA32" s="202"/>
      <c r="AB32" s="202"/>
      <c r="AC32" s="202"/>
      <c r="AD32" s="202"/>
      <c r="AE32" s="202"/>
      <c r="AF32" s="202"/>
      <c r="AG32" s="202"/>
      <c r="AH32" s="202"/>
      <c r="AI32" s="203"/>
      <c r="AJ32" s="203"/>
      <c r="AK32" s="203"/>
      <c r="AL32" s="203"/>
      <c r="AM32" s="203"/>
      <c r="AN32" s="203"/>
      <c r="AO32" s="203"/>
      <c r="AP32" s="203"/>
      <c r="AQ32" s="203"/>
      <c r="AR32" s="203"/>
      <c r="AS32" s="203"/>
    </row>
    <row r="33" spans="3:45">
      <c r="C33" s="201"/>
      <c r="D33" s="201"/>
      <c r="E33" s="201"/>
      <c r="F33" s="201"/>
      <c r="G33" s="425"/>
      <c r="H33" s="425"/>
      <c r="I33" s="204"/>
      <c r="J33" s="202"/>
      <c r="K33" s="202"/>
      <c r="L33" s="202"/>
      <c r="M33" s="202"/>
      <c r="N33" s="202"/>
      <c r="O33" s="202"/>
      <c r="P33" s="202"/>
      <c r="Q33" s="202"/>
      <c r="R33" s="202"/>
      <c r="S33" s="202"/>
      <c r="T33" s="202"/>
      <c r="U33" s="202"/>
      <c r="V33" s="202"/>
      <c r="W33" s="202"/>
      <c r="X33" s="202"/>
      <c r="Y33" s="202"/>
      <c r="Z33" s="202"/>
      <c r="AA33" s="202"/>
      <c r="AB33" s="202"/>
      <c r="AC33" s="202"/>
      <c r="AD33" s="202"/>
      <c r="AE33" s="202"/>
      <c r="AF33" s="202"/>
      <c r="AG33" s="202"/>
      <c r="AH33" s="202"/>
      <c r="AI33" s="203"/>
      <c r="AJ33" s="203"/>
      <c r="AK33" s="203"/>
      <c r="AL33" s="203"/>
      <c r="AM33" s="203"/>
      <c r="AN33" s="203"/>
      <c r="AO33" s="203"/>
      <c r="AP33" s="203"/>
      <c r="AQ33" s="203"/>
      <c r="AR33" s="203"/>
      <c r="AS33" s="203"/>
    </row>
    <row r="34" spans="3:45">
      <c r="C34" s="91" t="s">
        <v>484</v>
      </c>
      <c r="D34" s="91"/>
      <c r="E34" s="91"/>
      <c r="F34" s="91"/>
      <c r="G34" s="424"/>
      <c r="H34" s="424"/>
    </row>
    <row r="35" spans="3:45">
      <c r="C35" s="91"/>
      <c r="D35" s="91"/>
      <c r="E35" s="91"/>
      <c r="F35" s="91"/>
      <c r="G35" s="424"/>
      <c r="H35" s="424"/>
    </row>
  </sheetData>
  <sheetProtection formatCells="0" formatColumns="0" formatRows="0" insertColumns="0" insertRows="0" insertHyperlinks="0" sort="0" autoFilter="0" pivotTables="0"/>
  <mergeCells count="6">
    <mergeCell ref="C3:AS3"/>
    <mergeCell ref="I1:AS1"/>
    <mergeCell ref="G5:H5"/>
    <mergeCell ref="D5:D6"/>
    <mergeCell ref="E5:E6"/>
    <mergeCell ref="F5:F6"/>
  </mergeCells>
  <phoneticPr fontId="7" type="noConversion"/>
  <pageMargins left="0.23622047244094491" right="0.23622047244094491" top="0.55118110236220474" bottom="0.51181102362204722" header="0.27559055118110237" footer="0.31496062992125984"/>
  <pageSetup paperSize="9" scale="42" fitToHeight="7" orientation="landscape" r:id="rId1"/>
  <headerFooter>
    <oddHeader>&amp;C 2020 - C2  E+ KA226 - HED&amp;RVersion: 2020.09.08. - TKA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2">
    <tabColor rgb="FF008000"/>
  </sheetPr>
  <dimension ref="A1:F27"/>
  <sheetViews>
    <sheetView zoomScale="120" zoomScaleNormal="120" workbookViewId="0">
      <selection activeCell="A12" sqref="A12"/>
    </sheetView>
  </sheetViews>
  <sheetFormatPr defaultColWidth="11.42578125" defaultRowHeight="12.75"/>
  <cols>
    <col min="1" max="1" width="31.42578125" style="6" customWidth="1"/>
    <col min="2" max="2" width="16.7109375" style="14" customWidth="1"/>
    <col min="3" max="3" width="7.85546875" style="5" bestFit="1" customWidth="1"/>
    <col min="4" max="4" width="8.85546875" style="5" customWidth="1"/>
    <col min="5" max="5" width="11.7109375" style="3" bestFit="1" customWidth="1"/>
    <col min="6" max="6" width="20.42578125" style="3" customWidth="1"/>
    <col min="7" max="16384" width="11.42578125" style="3"/>
  </cols>
  <sheetData>
    <row r="1" spans="1:6" ht="15.75">
      <c r="A1" s="99" t="s">
        <v>89</v>
      </c>
      <c r="B1" s="100"/>
      <c r="C1" s="101"/>
      <c r="D1" s="101"/>
      <c r="E1" s="102"/>
    </row>
    <row r="2" spans="1:6" ht="15.75">
      <c r="A2" s="103" t="s">
        <v>0</v>
      </c>
      <c r="B2" s="104"/>
      <c r="C2" s="102"/>
      <c r="D2" s="102"/>
      <c r="E2" s="102"/>
    </row>
    <row r="3" spans="1:6" ht="13.5" thickBot="1">
      <c r="A3" s="105"/>
      <c r="B3" s="106"/>
      <c r="C3" s="102"/>
      <c r="D3" s="102"/>
      <c r="E3" s="102"/>
    </row>
    <row r="4" spans="1:6" ht="39" thickBot="1">
      <c r="A4" s="107" t="s">
        <v>445</v>
      </c>
      <c r="B4" s="108" t="s">
        <v>32</v>
      </c>
      <c r="C4" s="109" t="s">
        <v>97</v>
      </c>
      <c r="D4" s="190" t="s">
        <v>98</v>
      </c>
      <c r="E4" s="195" t="s">
        <v>99</v>
      </c>
    </row>
    <row r="5" spans="1:6" s="10" customFormat="1" ht="13.5" thickBot="1">
      <c r="A5" s="189"/>
      <c r="B5" s="7"/>
      <c r="C5" s="8"/>
      <c r="D5" s="191" t="s">
        <v>317</v>
      </c>
      <c r="E5" s="196">
        <f>SUM(E11:E20)</f>
        <v>0</v>
      </c>
      <c r="F5" s="9" t="str">
        <f>IF(E5&gt;2750*Overview!C7,"Maximum 2750 EUR per month!","")</f>
        <v/>
      </c>
    </row>
    <row r="6" spans="1:6" s="10" customFormat="1" hidden="1">
      <c r="A6" s="83"/>
      <c r="B6" s="269"/>
      <c r="C6" s="269"/>
      <c r="D6" s="270"/>
      <c r="E6" s="271"/>
    </row>
    <row r="7" spans="1:6" s="10" customFormat="1" hidden="1">
      <c r="A7" s="83"/>
      <c r="B7" s="269" t="str">
        <f t="array" ref="B7:B10">EUint</f>
        <v>Belgium</v>
      </c>
      <c r="C7" s="269"/>
      <c r="D7" s="270"/>
      <c r="E7" s="271"/>
    </row>
    <row r="8" spans="1:6" s="10" customFormat="1" hidden="1">
      <c r="A8" s="83"/>
      <c r="B8" s="269" t="str">
        <v>Franciaország</v>
      </c>
      <c r="C8" s="269"/>
      <c r="D8" s="270"/>
      <c r="E8" s="271"/>
    </row>
    <row r="9" spans="1:6" s="10" customFormat="1" hidden="1">
      <c r="A9" s="83" t="s">
        <v>427</v>
      </c>
      <c r="B9" s="269" t="str">
        <v>Luxemburg</v>
      </c>
      <c r="C9" s="269"/>
      <c r="D9" s="270"/>
      <c r="E9" s="271"/>
    </row>
    <row r="10" spans="1:6" s="10" customFormat="1" hidden="1">
      <c r="A10" s="494"/>
      <c r="B10" s="269" t="str">
        <v>Németország</v>
      </c>
      <c r="C10" s="269"/>
      <c r="D10" s="270"/>
      <c r="E10" s="271"/>
    </row>
    <row r="11" spans="1:6" s="10" customFormat="1">
      <c r="A11" s="502"/>
      <c r="B11" s="269" t="s">
        <v>65</v>
      </c>
      <c r="C11" s="269" t="str">
        <f>IF(OR(ISBLANK(A11),ISBLANK(B11)),"",Overview!$C$7)</f>
        <v/>
      </c>
      <c r="D11" s="270" t="str">
        <f>IF(OR(ISBLANK(A11),ISBLANK(B11)),"",500)</f>
        <v/>
      </c>
      <c r="E11" s="172" t="str">
        <f>IF(ISBLANK(A11),"",IF(ISBLANK(B11),"Missing data",C11*D11))</f>
        <v/>
      </c>
      <c r="F11" s="10" t="s">
        <v>323</v>
      </c>
    </row>
    <row r="12" spans="1:6" s="10" customFormat="1">
      <c r="A12" s="502"/>
      <c r="B12" s="11"/>
      <c r="C12" s="15" t="str">
        <f>IF(OR(ISBLANK(A12),ISBLANK(B12)),"",Overview!$C$7)</f>
        <v/>
      </c>
      <c r="D12" s="192" t="str">
        <f>IF(OR(ISBLANK(A12),ISBLANK(B12)),"",250)</f>
        <v/>
      </c>
      <c r="E12" s="172" t="str">
        <f>IF(ISBLANK(A12),"",IF(ISBLANK(B12),"Missing data",C12*D12))</f>
        <v/>
      </c>
    </row>
    <row r="13" spans="1:6" s="10" customFormat="1">
      <c r="A13" s="502"/>
      <c r="B13" s="11"/>
      <c r="C13" s="15" t="str">
        <f>IF(OR(ISBLANK(A13),ISBLANK(B13)),"",Overview!$C$7)</f>
        <v/>
      </c>
      <c r="D13" s="192" t="str">
        <f t="shared" ref="D13:D20" si="0">IF(OR(ISBLANK(A13),ISBLANK(B13)),"",250)</f>
        <v/>
      </c>
      <c r="E13" s="172" t="str">
        <f t="shared" ref="E13:E20" si="1">IF(ISBLANK(A13),"",IF(ISBLANK(B13),"Missing data",C13*D13))</f>
        <v/>
      </c>
    </row>
    <row r="14" spans="1:6" s="10" customFormat="1">
      <c r="A14" s="503"/>
      <c r="B14" s="11"/>
      <c r="C14" s="15" t="str">
        <f>IF(OR(ISBLANK(A14),ISBLANK(B14)),"",Overview!$C$7)</f>
        <v/>
      </c>
      <c r="D14" s="192" t="str">
        <f t="shared" si="0"/>
        <v/>
      </c>
      <c r="E14" s="172" t="str">
        <f t="shared" si="1"/>
        <v/>
      </c>
    </row>
    <row r="15" spans="1:6" s="10" customFormat="1">
      <c r="A15" s="503"/>
      <c r="B15" s="11"/>
      <c r="C15" s="15" t="str">
        <f>IF(OR(ISBLANK(A15),ISBLANK(B15)),"",Overview!$C$7)</f>
        <v/>
      </c>
      <c r="D15" s="192" t="str">
        <f t="shared" si="0"/>
        <v/>
      </c>
      <c r="E15" s="172" t="str">
        <f t="shared" si="1"/>
        <v/>
      </c>
    </row>
    <row r="16" spans="1:6" s="10" customFormat="1">
      <c r="A16" s="503"/>
      <c r="B16" s="11"/>
      <c r="C16" s="15" t="str">
        <f>IF(OR(ISBLANK(A16),ISBLANK(B16)),"",Overview!$C$7)</f>
        <v/>
      </c>
      <c r="D16" s="192" t="str">
        <f t="shared" si="0"/>
        <v/>
      </c>
      <c r="E16" s="172" t="str">
        <f t="shared" si="1"/>
        <v/>
      </c>
    </row>
    <row r="17" spans="1:5" s="10" customFormat="1">
      <c r="A17" s="503"/>
      <c r="B17" s="11"/>
      <c r="C17" s="15" t="str">
        <f>IF(OR(ISBLANK(A17),ISBLANK(B17)),"",Overview!$C$7)</f>
        <v/>
      </c>
      <c r="D17" s="192" t="str">
        <f t="shared" si="0"/>
        <v/>
      </c>
      <c r="E17" s="172" t="str">
        <f t="shared" si="1"/>
        <v/>
      </c>
    </row>
    <row r="18" spans="1:5" s="10" customFormat="1">
      <c r="A18" s="503"/>
      <c r="B18" s="11"/>
      <c r="C18" s="15" t="str">
        <f>IF(OR(ISBLANK(A18),ISBLANK(B18)),"",Overview!$C$7)</f>
        <v/>
      </c>
      <c r="D18" s="192" t="str">
        <f t="shared" si="0"/>
        <v/>
      </c>
      <c r="E18" s="172" t="str">
        <f t="shared" si="1"/>
        <v/>
      </c>
    </row>
    <row r="19" spans="1:5" s="10" customFormat="1">
      <c r="A19" s="503"/>
      <c r="B19" s="11"/>
      <c r="C19" s="15" t="str">
        <f>IF(OR(ISBLANK(A19),ISBLANK(B19)),"",Overview!$C$7)</f>
        <v/>
      </c>
      <c r="D19" s="192" t="str">
        <f t="shared" si="0"/>
        <v/>
      </c>
      <c r="E19" s="172" t="str">
        <f t="shared" si="1"/>
        <v/>
      </c>
    </row>
    <row r="20" spans="1:5" s="10" customFormat="1">
      <c r="A20" s="503"/>
      <c r="B20" s="11"/>
      <c r="C20" s="15" t="str">
        <f>IF(OR(ISBLANK(A20),ISBLANK(B20)),"",Overview!$C$7)</f>
        <v/>
      </c>
      <c r="D20" s="192" t="str">
        <f t="shared" si="0"/>
        <v/>
      </c>
      <c r="E20" s="172" t="str">
        <f t="shared" si="1"/>
        <v/>
      </c>
    </row>
    <row r="21" spans="1:5" s="10" customFormat="1">
      <c r="A21" s="503"/>
      <c r="B21" s="11"/>
      <c r="C21" s="15" t="str">
        <f>IF(OR(ISBLANK(A21),ISBLANK(B21)),"",Overview!$C$7)</f>
        <v/>
      </c>
      <c r="D21" s="193"/>
      <c r="E21" s="197" t="str">
        <f>""</f>
        <v/>
      </c>
    </row>
    <row r="22" spans="1:5" s="10" customFormat="1">
      <c r="A22" s="503"/>
      <c r="B22" s="11"/>
      <c r="C22" s="15" t="str">
        <f>IF(OR(ISBLANK(A22),ISBLANK(B22)),"",Overview!$C$7)</f>
        <v/>
      </c>
      <c r="D22" s="193"/>
      <c r="E22" s="197" t="str">
        <f>""</f>
        <v/>
      </c>
    </row>
    <row r="23" spans="1:5" s="10" customFormat="1">
      <c r="A23" s="503"/>
      <c r="B23" s="11"/>
      <c r="C23" s="15" t="str">
        <f>IF(OR(ISBLANK(A23),ISBLANK(B23)),"",Overview!$C$7)</f>
        <v/>
      </c>
      <c r="D23" s="193"/>
      <c r="E23" s="197" t="str">
        <f>""</f>
        <v/>
      </c>
    </row>
    <row r="24" spans="1:5" s="10" customFormat="1">
      <c r="A24" s="503"/>
      <c r="B24" s="11"/>
      <c r="C24" s="15" t="str">
        <f>IF(OR(ISBLANK(A24),ISBLANK(B24)),"",Overview!$C$7)</f>
        <v/>
      </c>
      <c r="D24" s="193"/>
      <c r="E24" s="197" t="str">
        <f>""</f>
        <v/>
      </c>
    </row>
    <row r="25" spans="1:5" s="10" customFormat="1" ht="13.5" thickBot="1">
      <c r="A25" s="504"/>
      <c r="B25" s="12"/>
      <c r="C25" s="16" t="str">
        <f>IF(OR(ISBLANK(A25),ISBLANK(B25)),"",Overview!$C$7)</f>
        <v/>
      </c>
      <c r="D25" s="194"/>
      <c r="E25" s="198" t="str">
        <f>""</f>
        <v/>
      </c>
    </row>
    <row r="27" spans="1:5">
      <c r="A27" s="13"/>
    </row>
  </sheetData>
  <sheetProtection password="B516" sheet="1" formatColumns="0"/>
  <phoneticPr fontId="7" type="noConversion"/>
  <conditionalFormatting sqref="E5">
    <cfRule type="expression" dxfId="32" priority="22" stopIfTrue="1">
      <formula>F5&lt;&gt;""</formula>
    </cfRule>
  </conditionalFormatting>
  <dataValidations disablePrompts="1" count="1">
    <dataValidation type="list" allowBlank="1" showInputMessage="1" showErrorMessage="1" sqref="B12:B25">
      <formula1>Countries</formula1>
    </dataValidation>
  </dataValidations>
  <pageMargins left="0.74803149606299213" right="0.74803149606299213" top="0.98425196850393704" bottom="0.98425196850393704" header="0.51181102362204722" footer="0.51181102362204722"/>
  <pageSetup paperSize="9" scale="106" orientation="portrait" r:id="rId1"/>
  <headerFooter>
    <oddHeader>&amp;C&amp;11 2020 - C2  E+ KA226 - HED&amp;RVersion: 2020.09.08. - TKA</oddHeader>
    <oddFooter>&amp;C&amp;"Arial,Félkövér"&amp;A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3">
    <tabColor rgb="FF008000"/>
    <pageSetUpPr fitToPage="1"/>
  </sheetPr>
  <dimension ref="A1:K110"/>
  <sheetViews>
    <sheetView zoomScaleNormal="100" workbookViewId="0">
      <selection activeCell="D13" sqref="D13"/>
    </sheetView>
  </sheetViews>
  <sheetFormatPr defaultColWidth="11.42578125" defaultRowHeight="12.75"/>
  <cols>
    <col min="1" max="1" width="28.85546875" style="29" customWidth="1"/>
    <col min="2" max="2" width="15.140625" style="24" customWidth="1"/>
    <col min="3" max="3" width="7" style="25" bestFit="1" customWidth="1"/>
    <col min="4" max="4" width="27.7109375" style="24" customWidth="1"/>
    <col min="5" max="5" width="34.28515625" style="29" customWidth="1"/>
    <col min="6" max="6" width="19.42578125" style="24" customWidth="1"/>
    <col min="7" max="7" width="14.42578125" style="26" customWidth="1"/>
    <col min="8" max="8" width="10.42578125" style="27" bestFit="1" customWidth="1"/>
    <col min="9" max="9" width="18" style="28" customWidth="1"/>
    <col min="10" max="10" width="11.7109375" style="173" customWidth="1"/>
    <col min="11" max="11" width="24.85546875" style="10" bestFit="1" customWidth="1"/>
    <col min="12" max="12" width="27.7109375" style="10" customWidth="1"/>
    <col min="13" max="16384" width="11.42578125" style="10"/>
  </cols>
  <sheetData>
    <row r="1" spans="1:11" s="3" customFormat="1" ht="15.75" customHeight="1">
      <c r="A1" s="99" t="s">
        <v>116</v>
      </c>
      <c r="B1" s="104"/>
      <c r="C1" s="110"/>
      <c r="D1" s="104"/>
      <c r="E1" s="104"/>
      <c r="F1" s="164" t="s">
        <v>147</v>
      </c>
      <c r="G1" s="166"/>
      <c r="H1" s="168"/>
      <c r="I1" s="220" t="s">
        <v>399</v>
      </c>
    </row>
    <row r="2" spans="1:11" s="3" customFormat="1" ht="13.5" customHeight="1" thickBot="1">
      <c r="A2" s="103" t="s">
        <v>0</v>
      </c>
      <c r="B2" s="106"/>
      <c r="C2" s="111"/>
      <c r="D2" s="106"/>
      <c r="E2" s="106"/>
      <c r="F2" s="165" t="s">
        <v>117</v>
      </c>
      <c r="G2" s="167"/>
      <c r="H2" s="169"/>
      <c r="I2" s="221" t="s">
        <v>400</v>
      </c>
    </row>
    <row r="3" spans="1:11" s="3" customFormat="1" ht="14.25" thickBot="1">
      <c r="A3" s="112" t="s">
        <v>1</v>
      </c>
      <c r="B3" s="113"/>
      <c r="C3" s="114"/>
      <c r="D3" s="113"/>
      <c r="E3" s="112" t="s">
        <v>1</v>
      </c>
      <c r="F3" s="113"/>
      <c r="G3" s="115"/>
      <c r="H3" s="116"/>
      <c r="I3" s="117"/>
      <c r="J3" s="170"/>
    </row>
    <row r="4" spans="1:11" s="3" customFormat="1" ht="12.95" customHeight="1" thickBot="1">
      <c r="A4" s="565" t="s">
        <v>445</v>
      </c>
      <c r="B4" s="567" t="s">
        <v>32</v>
      </c>
      <c r="C4" s="567" t="s">
        <v>321</v>
      </c>
      <c r="D4" s="567" t="s">
        <v>119</v>
      </c>
      <c r="E4" s="569" t="s">
        <v>383</v>
      </c>
      <c r="F4" s="570"/>
      <c r="G4" s="575" t="s">
        <v>386</v>
      </c>
      <c r="H4" s="573" t="s">
        <v>144</v>
      </c>
      <c r="I4" s="567" t="s">
        <v>120</v>
      </c>
      <c r="J4" s="571" t="s">
        <v>121</v>
      </c>
    </row>
    <row r="5" spans="1:11" s="3" customFormat="1" ht="13.5" thickBot="1">
      <c r="A5" s="566"/>
      <c r="B5" s="568"/>
      <c r="C5" s="568"/>
      <c r="D5" s="568"/>
      <c r="E5" s="118" t="s">
        <v>445</v>
      </c>
      <c r="F5" s="119" t="s">
        <v>32</v>
      </c>
      <c r="G5" s="576"/>
      <c r="H5" s="574"/>
      <c r="I5" s="568"/>
      <c r="J5" s="572"/>
    </row>
    <row r="6" spans="1:11" s="3" customFormat="1" ht="13.5" thickBot="1">
      <c r="A6" s="120"/>
      <c r="B6" s="121"/>
      <c r="C6" s="121"/>
      <c r="D6" s="121"/>
      <c r="E6" s="120"/>
      <c r="F6" s="121"/>
      <c r="G6" s="122"/>
      <c r="H6" s="123"/>
      <c r="I6" s="125" t="s">
        <v>314</v>
      </c>
      <c r="J6" s="196">
        <f>SUM(J7:J108)</f>
        <v>0</v>
      </c>
    </row>
    <row r="7" spans="1:11">
      <c r="A7" s="505"/>
      <c r="B7" s="19" t="str">
        <f>IF(ISBLANK(A7),"",VLOOKUP(A7,Management!$A$11:$C$25,2,0))</f>
        <v/>
      </c>
      <c r="C7" s="481"/>
      <c r="D7" s="459"/>
      <c r="E7" s="18"/>
      <c r="F7" s="20" t="str">
        <f>IF(OR(ISBLANK(E7),E7="Other"),"",VLOOKUP(E7,Management!$A$11:$B$25,2,0))</f>
        <v/>
      </c>
      <c r="G7" s="460"/>
      <c r="H7" s="482"/>
      <c r="I7" s="20"/>
      <c r="J7" s="171" t="str">
        <f>IF(ISBLANK(A7),"",IF(OR(ISBLANK(C7),ISBLANK(D7),ISBLANK(G7),ISBLANK(H7),ISBLANK(I7)),"Missing data",H7*VLOOKUP(I7,Ceilings!$J$4:$K$5,2,0)))</f>
        <v/>
      </c>
      <c r="K7" s="3"/>
    </row>
    <row r="8" spans="1:11">
      <c r="A8" s="506"/>
      <c r="B8" s="21" t="str">
        <f>IF(ISBLANK(A8),"",VLOOKUP(A8,Management!$A$11:$C$25,2,0))</f>
        <v/>
      </c>
      <c r="C8" s="483"/>
      <c r="D8" s="462"/>
      <c r="E8" s="484"/>
      <c r="F8" s="485" t="str">
        <f>IF(OR(ISBLANK(E8),E8="Other"),"",VLOOKUP(E8,Management!$A$11:$B$25,2,0))</f>
        <v/>
      </c>
      <c r="G8" s="463"/>
      <c r="H8" s="486"/>
      <c r="I8" s="485"/>
      <c r="J8" s="487" t="str">
        <f>IF(ISBLANK(A8),"",IF(OR(ISBLANK(C8),ISBLANK(D8),ISBLANK(G8),ISBLANK(H8),ISBLANK(I8)),"Missing data",H8*VLOOKUP(I8,Ceilings!$J$4:$K$5,2,0)))</f>
        <v/>
      </c>
    </row>
    <row r="9" spans="1:11">
      <c r="A9" s="506"/>
      <c r="B9" s="21" t="str">
        <f>IF(ISBLANK(A9),"",VLOOKUP(A9,Management!$A$11:$C$25,2,0))</f>
        <v/>
      </c>
      <c r="C9" s="483"/>
      <c r="D9" s="462"/>
      <c r="E9" s="484"/>
      <c r="F9" s="485" t="str">
        <f>IF(OR(ISBLANK(E9),E9="Other"),"",VLOOKUP(E9,Management!$A$11:$B$25,2,0))</f>
        <v/>
      </c>
      <c r="G9" s="463"/>
      <c r="H9" s="486"/>
      <c r="I9" s="485"/>
      <c r="J9" s="487" t="str">
        <f>IF(ISBLANK(A9),"",IF(OR(ISBLANK(C9),ISBLANK(D9),ISBLANK(G9),ISBLANK(H9),ISBLANK(I9)),"Missing data",H9*VLOOKUP(I9,Ceilings!$J$4:$K$5,2,0)))</f>
        <v/>
      </c>
    </row>
    <row r="10" spans="1:11">
      <c r="A10" s="506"/>
      <c r="B10" s="21" t="str">
        <f>IF(ISBLANK(A10),"",VLOOKUP(A10,Management!$A$11:$C$25,2,0))</f>
        <v/>
      </c>
      <c r="C10" s="483"/>
      <c r="D10" s="462"/>
      <c r="E10" s="484"/>
      <c r="F10" s="485" t="str">
        <f>IF(OR(ISBLANK(E10),E10="Other"),"",VLOOKUP(E10,Management!$A$11:$B$25,2,0))</f>
        <v/>
      </c>
      <c r="G10" s="463"/>
      <c r="H10" s="486"/>
      <c r="I10" s="485"/>
      <c r="J10" s="487" t="str">
        <f>IF(ISBLANK(A10),"",IF(OR(ISBLANK(C10),ISBLANK(D10),ISBLANK(G10),ISBLANK(H10),ISBLANK(I10)),"Missing data",H10*VLOOKUP(I10,Ceilings!$J$4:$K$5,2,0)))</f>
        <v/>
      </c>
    </row>
    <row r="11" spans="1:11">
      <c r="A11" s="506"/>
      <c r="B11" s="21" t="str">
        <f>IF(ISBLANK(A11),"",VLOOKUP(A11,Management!$A$11:$C$25,2,0))</f>
        <v/>
      </c>
      <c r="C11" s="483"/>
      <c r="D11" s="462"/>
      <c r="E11" s="484"/>
      <c r="F11" s="485" t="str">
        <f>IF(OR(ISBLANK(E11),E11="Other"),"",VLOOKUP(E11,Management!$A$11:$B$25,2,0))</f>
        <v/>
      </c>
      <c r="G11" s="463"/>
      <c r="H11" s="486"/>
      <c r="I11" s="485"/>
      <c r="J11" s="487" t="str">
        <f>IF(ISBLANK(A11),"",IF(OR(ISBLANK(C11),ISBLANK(D11),ISBLANK(G11),ISBLANK(H11),ISBLANK(I11)),"Missing data",H11*VLOOKUP(I11,Ceilings!$J$4:$K$5,2,0)))</f>
        <v/>
      </c>
    </row>
    <row r="12" spans="1:11">
      <c r="A12" s="506"/>
      <c r="B12" s="21" t="str">
        <f>IF(ISBLANK(A12),"",VLOOKUP(A12,Management!$A$11:$C$25,2,0))</f>
        <v/>
      </c>
      <c r="C12" s="483"/>
      <c r="D12" s="462"/>
      <c r="E12" s="484"/>
      <c r="F12" s="485" t="str">
        <f>IF(OR(ISBLANK(E12),E12="Other"),"",VLOOKUP(E12,Management!$A$11:$B$25,2,0))</f>
        <v/>
      </c>
      <c r="G12" s="463"/>
      <c r="H12" s="486"/>
      <c r="I12" s="485"/>
      <c r="J12" s="487" t="str">
        <f>IF(ISBLANK(A12),"",IF(OR(ISBLANK(C12),ISBLANK(D12),ISBLANK(G12),ISBLANK(H12),ISBLANK(I12)),"Missing data",H12*VLOOKUP(I12,Ceilings!$J$4:$K$5,2,0)))</f>
        <v/>
      </c>
    </row>
    <row r="13" spans="1:11">
      <c r="A13" s="506"/>
      <c r="B13" s="21" t="str">
        <f>IF(ISBLANK(A13),"",VLOOKUP(A13,Management!$A$11:$C$25,2,0))</f>
        <v/>
      </c>
      <c r="C13" s="483"/>
      <c r="D13" s="462"/>
      <c r="E13" s="484"/>
      <c r="F13" s="485" t="str">
        <f>IF(OR(ISBLANK(E13),E13="Other"),"",VLOOKUP(E13,Management!$A$11:$B$25,2,0))</f>
        <v/>
      </c>
      <c r="G13" s="463"/>
      <c r="H13" s="486"/>
      <c r="I13" s="485"/>
      <c r="J13" s="487" t="str">
        <f>IF(ISBLANK(A13),"",IF(OR(ISBLANK(C13),ISBLANK(D13),ISBLANK(G13),ISBLANK(H13),ISBLANK(I13)),"Missing data",H13*VLOOKUP(I13,Ceilings!$J$4:$K$5,2,0)))</f>
        <v/>
      </c>
    </row>
    <row r="14" spans="1:11">
      <c r="A14" s="506"/>
      <c r="B14" s="21" t="str">
        <f>IF(ISBLANK(A14),"",VLOOKUP(A14,Management!$A$11:$C$25,2,0))</f>
        <v/>
      </c>
      <c r="C14" s="483"/>
      <c r="D14" s="462"/>
      <c r="E14" s="484"/>
      <c r="F14" s="485" t="str">
        <f>IF(OR(ISBLANK(E14),E14="Other"),"",VLOOKUP(E14,Management!$A$11:$B$25,2,0))</f>
        <v/>
      </c>
      <c r="G14" s="463"/>
      <c r="H14" s="486"/>
      <c r="I14" s="485"/>
      <c r="J14" s="487" t="str">
        <f>IF(ISBLANK(A14),"",IF(OR(ISBLANK(C14),ISBLANK(D14),ISBLANK(G14),ISBLANK(H14),ISBLANK(I14)),"Missing data",H14*VLOOKUP(I14,Ceilings!$J$4:$K$5,2,0)))</f>
        <v/>
      </c>
    </row>
    <row r="15" spans="1:11">
      <c r="A15" s="506"/>
      <c r="B15" s="21" t="str">
        <f>IF(ISBLANK(A15),"",VLOOKUP(A15,Management!$A$11:$C$25,2,0))</f>
        <v/>
      </c>
      <c r="C15" s="483"/>
      <c r="D15" s="488"/>
      <c r="E15" s="484"/>
      <c r="F15" s="485" t="str">
        <f>IF(OR(ISBLANK(E15),E15="Other"),"",VLOOKUP(E15,Management!$A$11:$B$25,2,0))</f>
        <v/>
      </c>
      <c r="G15" s="463"/>
      <c r="H15" s="486"/>
      <c r="I15" s="485"/>
      <c r="J15" s="487" t="str">
        <f>IF(ISBLANK(A15),"",IF(OR(ISBLANK(C15),ISBLANK(D15),ISBLANK(G15),ISBLANK(H15),ISBLANK(I15)),"Missing data",H15*VLOOKUP(I15,Ceilings!$J$4:$K$5,2,0)))</f>
        <v/>
      </c>
    </row>
    <row r="16" spans="1:11">
      <c r="A16" s="506"/>
      <c r="B16" s="21" t="str">
        <f>IF(ISBLANK(A16),"",VLOOKUP(A16,Management!$A$11:$C$25,2,0))</f>
        <v/>
      </c>
      <c r="C16" s="483"/>
      <c r="D16" s="462"/>
      <c r="E16" s="484"/>
      <c r="F16" s="485" t="str">
        <f>IF(OR(ISBLANK(E16),E16="Other"),"",VLOOKUP(E16,Management!$A$11:$B$25,2,0))</f>
        <v/>
      </c>
      <c r="G16" s="463"/>
      <c r="H16" s="486"/>
      <c r="I16" s="485"/>
      <c r="J16" s="487" t="str">
        <f>IF(ISBLANK(A16),"",IF(OR(ISBLANK(C16),ISBLANK(D16),ISBLANK(G16),ISBLANK(H16),ISBLANK(I16)),"Missing data",H16*VLOOKUP(I16,Ceilings!$J$4:$K$5,2,0)))</f>
        <v/>
      </c>
    </row>
    <row r="17" spans="1:10">
      <c r="A17" s="506"/>
      <c r="B17" s="21" t="str">
        <f>IF(ISBLANK(A17),"",VLOOKUP(A17,Management!$A$11:$C$25,2,0))</f>
        <v/>
      </c>
      <c r="C17" s="483"/>
      <c r="D17" s="462"/>
      <c r="E17" s="484"/>
      <c r="F17" s="485" t="str">
        <f>IF(OR(ISBLANK(E17),E17="Other"),"",VLOOKUP(E17,Management!$A$11:$B$25,2,0))</f>
        <v/>
      </c>
      <c r="G17" s="463"/>
      <c r="H17" s="486"/>
      <c r="I17" s="485"/>
      <c r="J17" s="487" t="str">
        <f>IF(ISBLANK(A17),"",IF(OR(ISBLANK(C17),ISBLANK(D17),ISBLANK(G17),ISBLANK(H17),ISBLANK(I17)),"Missing data",H17*VLOOKUP(I17,Ceilings!$J$4:$K$5,2,0)))</f>
        <v/>
      </c>
    </row>
    <row r="18" spans="1:10">
      <c r="A18" s="506"/>
      <c r="B18" s="21" t="str">
        <f>IF(ISBLANK(A18),"",VLOOKUP(A18,Management!$A$11:$C$25,2,0))</f>
        <v/>
      </c>
      <c r="C18" s="483"/>
      <c r="D18" s="462"/>
      <c r="E18" s="484"/>
      <c r="F18" s="485" t="str">
        <f>IF(OR(ISBLANK(E18),E18="Other"),"",VLOOKUP(E18,Management!$A$11:$B$25,2,0))</f>
        <v/>
      </c>
      <c r="G18" s="463"/>
      <c r="H18" s="486"/>
      <c r="I18" s="485"/>
      <c r="J18" s="487" t="str">
        <f>IF(ISBLANK(A18),"",IF(OR(ISBLANK(C18),ISBLANK(D18),ISBLANK(G18),ISBLANK(H18),ISBLANK(I18)),"Missing data",H18*VLOOKUP(I18,Ceilings!$J$4:$K$5,2,0)))</f>
        <v/>
      </c>
    </row>
    <row r="19" spans="1:10">
      <c r="A19" s="506"/>
      <c r="B19" s="21" t="str">
        <f>IF(ISBLANK(A19),"",VLOOKUP(A19,Management!$A$11:$C$25,2,0))</f>
        <v/>
      </c>
      <c r="C19" s="483"/>
      <c r="D19" s="462"/>
      <c r="E19" s="484"/>
      <c r="F19" s="485" t="str">
        <f>IF(OR(ISBLANK(E19),E19="Other"),"",VLOOKUP(E19,Management!$A$11:$B$25,2,0))</f>
        <v/>
      </c>
      <c r="G19" s="463"/>
      <c r="H19" s="486"/>
      <c r="I19" s="485"/>
      <c r="J19" s="487" t="str">
        <f>IF(ISBLANK(A19),"",IF(OR(ISBLANK(C19),ISBLANK(D19),ISBLANK(G19),ISBLANK(H19),ISBLANK(I19)),"Missing data",H19*VLOOKUP(I19,Ceilings!$J$4:$K$5,2,0)))</f>
        <v/>
      </c>
    </row>
    <row r="20" spans="1:10">
      <c r="A20" s="506"/>
      <c r="B20" s="21" t="str">
        <f>IF(ISBLANK(A20),"",VLOOKUP(A20,Management!$A$11:$C$25,2,0))</f>
        <v/>
      </c>
      <c r="C20" s="483"/>
      <c r="D20" s="462"/>
      <c r="E20" s="484"/>
      <c r="F20" s="485" t="str">
        <f>IF(OR(ISBLANK(E20),E20="Other"),"",VLOOKUP(E20,Management!$A$11:$B$25,2,0))</f>
        <v/>
      </c>
      <c r="G20" s="463"/>
      <c r="H20" s="486"/>
      <c r="I20" s="485"/>
      <c r="J20" s="487" t="str">
        <f>IF(ISBLANK(A20),"",IF(OR(ISBLANK(C20),ISBLANK(D20),ISBLANK(G20),ISBLANK(H20),ISBLANK(I20)),"Missing data",H20*VLOOKUP(I20,Ceilings!$J$4:$K$5,2,0)))</f>
        <v/>
      </c>
    </row>
    <row r="21" spans="1:10">
      <c r="A21" s="506"/>
      <c r="B21" s="21" t="str">
        <f>IF(ISBLANK(A21),"",VLOOKUP(A21,Management!$A$11:$C$25,2,0))</f>
        <v/>
      </c>
      <c r="C21" s="483"/>
      <c r="D21" s="462"/>
      <c r="E21" s="484"/>
      <c r="F21" s="485" t="str">
        <f>IF(OR(ISBLANK(E21),E21="Other"),"",VLOOKUP(E21,Management!$A$11:$B$25,2,0))</f>
        <v/>
      </c>
      <c r="G21" s="463"/>
      <c r="H21" s="486"/>
      <c r="I21" s="485"/>
      <c r="J21" s="487" t="str">
        <f>IF(ISBLANK(A21),"",IF(OR(ISBLANK(C21),ISBLANK(D21),ISBLANK(G21),ISBLANK(H21),ISBLANK(I21)),"Missing data",H21*VLOOKUP(I21,Ceilings!$J$4:$K$5,2,0)))</f>
        <v/>
      </c>
    </row>
    <row r="22" spans="1:10">
      <c r="A22" s="506"/>
      <c r="B22" s="21" t="str">
        <f>IF(ISBLANK(A22),"",VLOOKUP(A22,Management!$A$11:$C$25,2,0))</f>
        <v/>
      </c>
      <c r="C22" s="483"/>
      <c r="D22" s="462"/>
      <c r="E22" s="484"/>
      <c r="F22" s="485" t="str">
        <f>IF(OR(ISBLANK(E22),E22="Other"),"",VLOOKUP(E22,Management!$A$11:$B$25,2,0))</f>
        <v/>
      </c>
      <c r="G22" s="463"/>
      <c r="H22" s="486"/>
      <c r="I22" s="485"/>
      <c r="J22" s="487" t="str">
        <f>IF(ISBLANK(A22),"",IF(OR(ISBLANK(C22),ISBLANK(D22),ISBLANK(G22),ISBLANK(H22),ISBLANK(I22)),"Missing data",H22*VLOOKUP(I22,Ceilings!$J$4:$K$5,2,0)))</f>
        <v/>
      </c>
    </row>
    <row r="23" spans="1:10">
      <c r="A23" s="506"/>
      <c r="B23" s="21" t="str">
        <f>IF(ISBLANK(A23),"",VLOOKUP(A23,Management!$A$11:$C$25,2,0))</f>
        <v/>
      </c>
      <c r="C23" s="483"/>
      <c r="D23" s="462"/>
      <c r="E23" s="484"/>
      <c r="F23" s="485" t="str">
        <f>IF(OR(ISBLANK(E23),E23="Other"),"",VLOOKUP(E23,Management!$A$11:$B$25,2,0))</f>
        <v/>
      </c>
      <c r="G23" s="463"/>
      <c r="H23" s="486"/>
      <c r="I23" s="485"/>
      <c r="J23" s="487" t="str">
        <f>IF(ISBLANK(A23),"",IF(OR(ISBLANK(C23),ISBLANK(D23),ISBLANK(G23),ISBLANK(H23),ISBLANK(I23)),"Missing data",H23*VLOOKUP(I23,Ceilings!$J$4:$K$5,2,0)))</f>
        <v/>
      </c>
    </row>
    <row r="24" spans="1:10">
      <c r="A24" s="506"/>
      <c r="B24" s="21" t="str">
        <f>IF(ISBLANK(A24),"",VLOOKUP(A24,Management!$A$11:$C$25,2,0))</f>
        <v/>
      </c>
      <c r="C24" s="483"/>
      <c r="D24" s="462"/>
      <c r="E24" s="484"/>
      <c r="F24" s="485" t="str">
        <f>IF(OR(ISBLANK(E24),E24="Other"),"",VLOOKUP(E24,Management!$A$11:$B$25,2,0))</f>
        <v/>
      </c>
      <c r="G24" s="463"/>
      <c r="H24" s="486"/>
      <c r="I24" s="485"/>
      <c r="J24" s="487" t="str">
        <f>IF(ISBLANK(A24),"",IF(OR(ISBLANK(C24),ISBLANK(D24),ISBLANK(G24),ISBLANK(H24),ISBLANK(I24)),"Missing data",H24*VLOOKUP(I24,Ceilings!$J$4:$K$5,2,0)))</f>
        <v/>
      </c>
    </row>
    <row r="25" spans="1:10">
      <c r="A25" s="506"/>
      <c r="B25" s="21" t="str">
        <f>IF(ISBLANK(A25),"",VLOOKUP(A25,Management!$A$11:$C$25,2,0))</f>
        <v/>
      </c>
      <c r="C25" s="483"/>
      <c r="D25" s="462"/>
      <c r="E25" s="484"/>
      <c r="F25" s="485" t="str">
        <f>IF(OR(ISBLANK(E25),E25="Other"),"",VLOOKUP(E25,Management!$A$11:$B$25,2,0))</f>
        <v/>
      </c>
      <c r="G25" s="463"/>
      <c r="H25" s="486"/>
      <c r="I25" s="485"/>
      <c r="J25" s="487" t="str">
        <f>IF(ISBLANK(A25),"",IF(OR(ISBLANK(C25),ISBLANK(D25),ISBLANK(G25),ISBLANK(H25),ISBLANK(I25)),"Missing data",H25*VLOOKUP(I25,Ceilings!$J$4:$K$5,2,0)))</f>
        <v/>
      </c>
    </row>
    <row r="26" spans="1:10">
      <c r="A26" s="506"/>
      <c r="B26" s="21" t="str">
        <f>IF(ISBLANK(A26),"",VLOOKUP(A26,Management!$A$11:$C$25,2,0))</f>
        <v/>
      </c>
      <c r="C26" s="483"/>
      <c r="D26" s="462"/>
      <c r="E26" s="484"/>
      <c r="F26" s="485" t="str">
        <f>IF(OR(ISBLANK(E26),E26="Other"),"",VLOOKUP(E26,Management!$A$11:$B$25,2,0))</f>
        <v/>
      </c>
      <c r="G26" s="463"/>
      <c r="H26" s="486"/>
      <c r="I26" s="485"/>
      <c r="J26" s="487" t="str">
        <f>IF(ISBLANK(A26),"",IF(OR(ISBLANK(C26),ISBLANK(D26),ISBLANK(G26),ISBLANK(H26),ISBLANK(I26)),"Missing data",H26*VLOOKUP(I26,Ceilings!$J$4:$K$5,2,0)))</f>
        <v/>
      </c>
    </row>
    <row r="27" spans="1:10">
      <c r="A27" s="506"/>
      <c r="B27" s="21" t="str">
        <f>IF(ISBLANK(A27),"",VLOOKUP(A27,Management!$A$11:$C$25,2,0))</f>
        <v/>
      </c>
      <c r="C27" s="483"/>
      <c r="D27" s="462"/>
      <c r="E27" s="484"/>
      <c r="F27" s="485" t="str">
        <f>IF(OR(ISBLANK(E27),E27="Other"),"",VLOOKUP(E27,Management!$A$11:$B$25,2,0))</f>
        <v/>
      </c>
      <c r="G27" s="463"/>
      <c r="H27" s="486"/>
      <c r="I27" s="485"/>
      <c r="J27" s="487" t="str">
        <f>IF(ISBLANK(A27),"",IF(OR(ISBLANK(C27),ISBLANK(D27),ISBLANK(G27),ISBLANK(H27),ISBLANK(I27)),"Missing data",H27*VLOOKUP(I27,Ceilings!$J$4:$K$5,2,0)))</f>
        <v/>
      </c>
    </row>
    <row r="28" spans="1:10">
      <c r="A28" s="506"/>
      <c r="B28" s="21" t="str">
        <f>IF(ISBLANK(A28),"",VLOOKUP(A28,Management!$A$11:$C$25,2,0))</f>
        <v/>
      </c>
      <c r="C28" s="483"/>
      <c r="D28" s="462"/>
      <c r="E28" s="484"/>
      <c r="F28" s="485" t="str">
        <f>IF(OR(ISBLANK(E28),E28="Other"),"",VLOOKUP(E28,Management!$A$11:$B$25,2,0))</f>
        <v/>
      </c>
      <c r="G28" s="463"/>
      <c r="H28" s="486"/>
      <c r="I28" s="485"/>
      <c r="J28" s="487" t="str">
        <f>IF(ISBLANK(A28),"",IF(OR(ISBLANK(C28),ISBLANK(D28),ISBLANK(G28),ISBLANK(H28),ISBLANK(I28)),"Missing data",H28*VLOOKUP(I28,Ceilings!$J$4:$K$5,2,0)))</f>
        <v/>
      </c>
    </row>
    <row r="29" spans="1:10">
      <c r="A29" s="506"/>
      <c r="B29" s="21" t="str">
        <f>IF(ISBLANK(A29),"",VLOOKUP(A29,Management!$A$11:$C$25,2,0))</f>
        <v/>
      </c>
      <c r="C29" s="483"/>
      <c r="D29" s="462"/>
      <c r="E29" s="484"/>
      <c r="F29" s="485" t="str">
        <f>IF(OR(ISBLANK(E29),E29="Other"),"",VLOOKUP(E29,Management!$A$11:$B$25,2,0))</f>
        <v/>
      </c>
      <c r="G29" s="463"/>
      <c r="H29" s="486"/>
      <c r="I29" s="485"/>
      <c r="J29" s="487" t="str">
        <f>IF(ISBLANK(A29),"",IF(OR(ISBLANK(C29),ISBLANK(D29),ISBLANK(G29),ISBLANK(H29),ISBLANK(I29)),"Missing data",H29*VLOOKUP(I29,Ceilings!$J$4:$K$5,2,0)))</f>
        <v/>
      </c>
    </row>
    <row r="30" spans="1:10">
      <c r="A30" s="506"/>
      <c r="B30" s="21" t="str">
        <f>IF(ISBLANK(A30),"",VLOOKUP(A30,Management!$A$11:$C$25,2,0))</f>
        <v/>
      </c>
      <c r="C30" s="483"/>
      <c r="D30" s="462"/>
      <c r="E30" s="484"/>
      <c r="F30" s="485" t="str">
        <f>IF(OR(ISBLANK(E30),E30="Other"),"",VLOOKUP(E30,Management!$A$11:$B$25,2,0))</f>
        <v/>
      </c>
      <c r="G30" s="463"/>
      <c r="H30" s="486"/>
      <c r="I30" s="485"/>
      <c r="J30" s="487" t="str">
        <f>IF(ISBLANK(A30),"",IF(OR(ISBLANK(C30),ISBLANK(D30),ISBLANK(G30),ISBLANK(H30),ISBLANK(I30)),"Missing data",H30*VLOOKUP(I30,Ceilings!$J$4:$K$5,2,0)))</f>
        <v/>
      </c>
    </row>
    <row r="31" spans="1:10">
      <c r="A31" s="506"/>
      <c r="B31" s="21" t="str">
        <f>IF(ISBLANK(A31),"",VLOOKUP(A31,Management!$A$11:$C$25,2,0))</f>
        <v/>
      </c>
      <c r="C31" s="483"/>
      <c r="D31" s="462"/>
      <c r="E31" s="484"/>
      <c r="F31" s="485" t="str">
        <f>IF(OR(ISBLANK(E31),E31="Other"),"",VLOOKUP(E31,Management!$A$11:$B$25,2,0))</f>
        <v/>
      </c>
      <c r="G31" s="463"/>
      <c r="H31" s="486"/>
      <c r="I31" s="485"/>
      <c r="J31" s="487" t="str">
        <f>IF(ISBLANK(A31),"",IF(OR(ISBLANK(C31),ISBLANK(D31),ISBLANK(G31),ISBLANK(H31),ISBLANK(I31)),"Missing data",H31*VLOOKUP(I31,Ceilings!$J$4:$K$5,2,0)))</f>
        <v/>
      </c>
    </row>
    <row r="32" spans="1:10">
      <c r="A32" s="506"/>
      <c r="B32" s="21" t="str">
        <f>IF(ISBLANK(A32),"",VLOOKUP(A32,Management!$A$11:$C$25,2,0))</f>
        <v/>
      </c>
      <c r="C32" s="483"/>
      <c r="D32" s="462"/>
      <c r="E32" s="484"/>
      <c r="F32" s="485" t="str">
        <f>IF(OR(ISBLANK(E32),E32="Other"),"",VLOOKUP(E32,Management!$A$11:$B$25,2,0))</f>
        <v/>
      </c>
      <c r="G32" s="463"/>
      <c r="H32" s="486"/>
      <c r="I32" s="485"/>
      <c r="J32" s="487" t="str">
        <f>IF(ISBLANK(A32),"",IF(OR(ISBLANK(C32),ISBLANK(D32),ISBLANK(G32),ISBLANK(H32),ISBLANK(I32)),"Missing data",H32*VLOOKUP(I32,Ceilings!$J$4:$K$5,2,0)))</f>
        <v/>
      </c>
    </row>
    <row r="33" spans="1:10">
      <c r="A33" s="506"/>
      <c r="B33" s="21" t="str">
        <f>IF(ISBLANK(A33),"",VLOOKUP(A33,Management!$A$11:$C$25,2,0))</f>
        <v/>
      </c>
      <c r="C33" s="483"/>
      <c r="D33" s="462"/>
      <c r="E33" s="484"/>
      <c r="F33" s="485" t="str">
        <f>IF(OR(ISBLANK(E33),E33="Other"),"",VLOOKUP(E33,Management!$A$11:$B$25,2,0))</f>
        <v/>
      </c>
      <c r="G33" s="463"/>
      <c r="H33" s="486"/>
      <c r="I33" s="485"/>
      <c r="J33" s="487" t="str">
        <f>IF(ISBLANK(A33),"",IF(OR(ISBLANK(C33),ISBLANK(D33),ISBLANK(G33),ISBLANK(H33),ISBLANK(I33)),"Missing data",H33*VLOOKUP(I33,Ceilings!$J$4:$K$5,2,0)))</f>
        <v/>
      </c>
    </row>
    <row r="34" spans="1:10">
      <c r="A34" s="506"/>
      <c r="B34" s="21" t="str">
        <f>IF(ISBLANK(A34),"",VLOOKUP(A34,Management!$A$11:$C$25,2,0))</f>
        <v/>
      </c>
      <c r="C34" s="483"/>
      <c r="D34" s="462"/>
      <c r="E34" s="484"/>
      <c r="F34" s="485" t="str">
        <f>IF(OR(ISBLANK(E34),E34="Other"),"",VLOOKUP(E34,Management!$A$11:$B$25,2,0))</f>
        <v/>
      </c>
      <c r="G34" s="463"/>
      <c r="H34" s="486"/>
      <c r="I34" s="485"/>
      <c r="J34" s="487" t="str">
        <f>IF(ISBLANK(A34),"",IF(OR(ISBLANK(C34),ISBLANK(D34),ISBLANK(G34),ISBLANK(H34),ISBLANK(I34)),"Missing data",H34*VLOOKUP(I34,Ceilings!$J$4:$K$5,2,0)))</f>
        <v/>
      </c>
    </row>
    <row r="35" spans="1:10">
      <c r="A35" s="506"/>
      <c r="B35" s="21" t="str">
        <f>IF(ISBLANK(A35),"",VLOOKUP(A35,Management!$A$11:$C$25,2,0))</f>
        <v/>
      </c>
      <c r="C35" s="483"/>
      <c r="D35" s="462"/>
      <c r="E35" s="484"/>
      <c r="F35" s="485" t="str">
        <f>IF(OR(ISBLANK(E35),E35="Other"),"",VLOOKUP(E35,Management!$A$11:$B$25,2,0))</f>
        <v/>
      </c>
      <c r="G35" s="463"/>
      <c r="H35" s="486"/>
      <c r="I35" s="485"/>
      <c r="J35" s="487" t="str">
        <f>IF(ISBLANK(A35),"",IF(OR(ISBLANK(C35),ISBLANK(D35),ISBLANK(G35),ISBLANK(H35),ISBLANK(I35)),"Missing data",H35*VLOOKUP(I35,Ceilings!$J$4:$K$5,2,0)))</f>
        <v/>
      </c>
    </row>
    <row r="36" spans="1:10">
      <c r="A36" s="506"/>
      <c r="B36" s="21" t="str">
        <f>IF(ISBLANK(A36),"",VLOOKUP(A36,Management!$A$11:$C$25,2,0))</f>
        <v/>
      </c>
      <c r="C36" s="483"/>
      <c r="D36" s="462"/>
      <c r="E36" s="484"/>
      <c r="F36" s="485" t="str">
        <f>IF(OR(ISBLANK(E36),E36="Other"),"",VLOOKUP(E36,Management!$A$11:$B$25,2,0))</f>
        <v/>
      </c>
      <c r="G36" s="463"/>
      <c r="H36" s="486"/>
      <c r="I36" s="485"/>
      <c r="J36" s="487" t="str">
        <f>IF(ISBLANK(A36),"",IF(OR(ISBLANK(C36),ISBLANK(D36),ISBLANK(G36),ISBLANK(H36),ISBLANK(I36)),"Missing data",H36*VLOOKUP(I36,Ceilings!$J$4:$K$5,2,0)))</f>
        <v/>
      </c>
    </row>
    <row r="37" spans="1:10">
      <c r="A37" s="506"/>
      <c r="B37" s="21" t="str">
        <f>IF(ISBLANK(A37),"",VLOOKUP(A37,Management!$A$11:$C$25,2,0))</f>
        <v/>
      </c>
      <c r="C37" s="483"/>
      <c r="D37" s="462"/>
      <c r="E37" s="484"/>
      <c r="F37" s="485" t="str">
        <f>IF(OR(ISBLANK(E37),E37="Other"),"",VLOOKUP(E37,Management!$A$11:$B$25,2,0))</f>
        <v/>
      </c>
      <c r="G37" s="463"/>
      <c r="H37" s="486"/>
      <c r="I37" s="485"/>
      <c r="J37" s="487" t="str">
        <f>IF(ISBLANK(A37),"",IF(OR(ISBLANK(C37),ISBLANK(D37),ISBLANK(G37),ISBLANK(H37),ISBLANK(I37)),"Missing data",H37*VLOOKUP(I37,Ceilings!$J$4:$K$5,2,0)))</f>
        <v/>
      </c>
    </row>
    <row r="38" spans="1:10">
      <c r="A38" s="506"/>
      <c r="B38" s="21" t="str">
        <f>IF(ISBLANK(A38),"",VLOOKUP(A38,Management!$A$11:$C$25,2,0))</f>
        <v/>
      </c>
      <c r="C38" s="483"/>
      <c r="D38" s="462"/>
      <c r="E38" s="484"/>
      <c r="F38" s="485" t="str">
        <f>IF(OR(ISBLANK(E38),E38="Other"),"",VLOOKUP(E38,Management!$A$11:$B$25,2,0))</f>
        <v/>
      </c>
      <c r="G38" s="463"/>
      <c r="H38" s="486"/>
      <c r="I38" s="485"/>
      <c r="J38" s="487" t="str">
        <f>IF(ISBLANK(A38),"",IF(OR(ISBLANK(C38),ISBLANK(D38),ISBLANK(G38),ISBLANK(H38),ISBLANK(I38)),"Missing data",H38*VLOOKUP(I38,Ceilings!$J$4:$K$5,2,0)))</f>
        <v/>
      </c>
    </row>
    <row r="39" spans="1:10">
      <c r="A39" s="506"/>
      <c r="B39" s="21" t="str">
        <f>IF(ISBLANK(A39),"",VLOOKUP(A39,Management!$A$11:$C$25,2,0))</f>
        <v/>
      </c>
      <c r="C39" s="483"/>
      <c r="D39" s="462"/>
      <c r="E39" s="484"/>
      <c r="F39" s="485" t="str">
        <f>IF(OR(ISBLANK(E39),E39="Other"),"",VLOOKUP(E39,Management!$A$11:$B$25,2,0))</f>
        <v/>
      </c>
      <c r="G39" s="463"/>
      <c r="H39" s="486"/>
      <c r="I39" s="485"/>
      <c r="J39" s="487" t="str">
        <f>IF(ISBLANK(A39),"",IF(OR(ISBLANK(C39),ISBLANK(D39),ISBLANK(G39),ISBLANK(H39),ISBLANK(I39)),"Missing data",H39*VLOOKUP(I39,Ceilings!$J$4:$K$5,2,0)))</f>
        <v/>
      </c>
    </row>
    <row r="40" spans="1:10">
      <c r="A40" s="506"/>
      <c r="B40" s="21" t="str">
        <f>IF(ISBLANK(A40),"",VLOOKUP(A40,Management!$A$11:$C$25,2,0))</f>
        <v/>
      </c>
      <c r="C40" s="483"/>
      <c r="D40" s="462"/>
      <c r="E40" s="484"/>
      <c r="F40" s="485" t="str">
        <f>IF(OR(ISBLANK(E40),E40="Other"),"",VLOOKUP(E40,Management!$A$11:$B$25,2,0))</f>
        <v/>
      </c>
      <c r="G40" s="463"/>
      <c r="H40" s="486"/>
      <c r="I40" s="485"/>
      <c r="J40" s="487" t="str">
        <f>IF(ISBLANK(A40),"",IF(OR(ISBLANK(C40),ISBLANK(D40),ISBLANK(G40),ISBLANK(H40),ISBLANK(I40)),"Missing data",H40*VLOOKUP(I40,Ceilings!$J$4:$K$5,2,0)))</f>
        <v/>
      </c>
    </row>
    <row r="41" spans="1:10">
      <c r="A41" s="506"/>
      <c r="B41" s="21" t="str">
        <f>IF(ISBLANK(A41),"",VLOOKUP(A41,Management!$A$11:$C$25,2,0))</f>
        <v/>
      </c>
      <c r="C41" s="483"/>
      <c r="D41" s="462"/>
      <c r="E41" s="484"/>
      <c r="F41" s="485" t="str">
        <f>IF(OR(ISBLANK(E41),E41="Other"),"",VLOOKUP(E41,Management!$A$11:$B$25,2,0))</f>
        <v/>
      </c>
      <c r="G41" s="463"/>
      <c r="H41" s="486"/>
      <c r="I41" s="485"/>
      <c r="J41" s="487" t="str">
        <f>IF(ISBLANK(A41),"",IF(OR(ISBLANK(C41),ISBLANK(D41),ISBLANK(G41),ISBLANK(H41),ISBLANK(I41)),"Missing data",H41*VLOOKUP(I41,Ceilings!$J$4:$K$5,2,0)))</f>
        <v/>
      </c>
    </row>
    <row r="42" spans="1:10">
      <c r="A42" s="506"/>
      <c r="B42" s="21" t="str">
        <f>IF(ISBLANK(A42),"",VLOOKUP(A42,Management!$A$11:$C$25,2,0))</f>
        <v/>
      </c>
      <c r="C42" s="483"/>
      <c r="D42" s="462"/>
      <c r="E42" s="484"/>
      <c r="F42" s="485" t="str">
        <f>IF(OR(ISBLANK(E42),E42="Other"),"",VLOOKUP(E42,Management!$A$11:$B$25,2,0))</f>
        <v/>
      </c>
      <c r="G42" s="463"/>
      <c r="H42" s="486"/>
      <c r="I42" s="485"/>
      <c r="J42" s="487" t="str">
        <f>IF(ISBLANK(A42),"",IF(OR(ISBLANK(C42),ISBLANK(D42),ISBLANK(G42),ISBLANK(H42),ISBLANK(I42)),"Missing data",H42*VLOOKUP(I42,Ceilings!$J$4:$K$5,2,0)))</f>
        <v/>
      </c>
    </row>
    <row r="43" spans="1:10">
      <c r="A43" s="506"/>
      <c r="B43" s="21" t="str">
        <f>IF(ISBLANK(A43),"",VLOOKUP(A43,Management!$A$11:$C$25,2,0))</f>
        <v/>
      </c>
      <c r="C43" s="483"/>
      <c r="D43" s="462"/>
      <c r="E43" s="484"/>
      <c r="F43" s="485" t="str">
        <f>IF(OR(ISBLANK(E43),E43="Other"),"",VLOOKUP(E43,Management!$A$11:$B$25,2,0))</f>
        <v/>
      </c>
      <c r="G43" s="463"/>
      <c r="H43" s="486"/>
      <c r="I43" s="485"/>
      <c r="J43" s="487" t="str">
        <f>IF(ISBLANK(A43),"",IF(OR(ISBLANK(C43),ISBLANK(D43),ISBLANK(G43),ISBLANK(H43),ISBLANK(I43)),"Missing data",H43*VLOOKUP(I43,Ceilings!$J$4:$K$5,2,0)))</f>
        <v/>
      </c>
    </row>
    <row r="44" spans="1:10">
      <c r="A44" s="506"/>
      <c r="B44" s="21" t="str">
        <f>IF(ISBLANK(A44),"",VLOOKUP(A44,Management!$A$11:$C$25,2,0))</f>
        <v/>
      </c>
      <c r="C44" s="483"/>
      <c r="D44" s="462"/>
      <c r="E44" s="484"/>
      <c r="F44" s="485" t="str">
        <f>IF(OR(ISBLANK(E44),E44="Other"),"",VLOOKUP(E44,Management!$A$11:$B$25,2,0))</f>
        <v/>
      </c>
      <c r="G44" s="463"/>
      <c r="H44" s="486"/>
      <c r="I44" s="485"/>
      <c r="J44" s="487" t="str">
        <f>IF(ISBLANK(A44),"",IF(OR(ISBLANK(C44),ISBLANK(D44),ISBLANK(G44),ISBLANK(H44),ISBLANK(I44)),"Missing data",H44*VLOOKUP(I44,Ceilings!$J$4:$K$5,2,0)))</f>
        <v/>
      </c>
    </row>
    <row r="45" spans="1:10">
      <c r="A45" s="506"/>
      <c r="B45" s="21" t="str">
        <f>IF(ISBLANK(A45),"",VLOOKUP(A45,Management!$A$11:$C$25,2,0))</f>
        <v/>
      </c>
      <c r="C45" s="483"/>
      <c r="D45" s="462"/>
      <c r="E45" s="484"/>
      <c r="F45" s="485" t="str">
        <f>IF(OR(ISBLANK(E45),E45="Other"),"",VLOOKUP(E45,Management!$A$11:$B$25,2,0))</f>
        <v/>
      </c>
      <c r="G45" s="463"/>
      <c r="H45" s="486"/>
      <c r="I45" s="485"/>
      <c r="J45" s="487" t="str">
        <f>IF(ISBLANK(A45),"",IF(OR(ISBLANK(C45),ISBLANK(D45),ISBLANK(G45),ISBLANK(H45),ISBLANK(I45)),"Missing data",H45*VLOOKUP(I45,Ceilings!$J$4:$K$5,2,0)))</f>
        <v/>
      </c>
    </row>
    <row r="46" spans="1:10">
      <c r="A46" s="506"/>
      <c r="B46" s="21" t="str">
        <f>IF(ISBLANK(A46),"",VLOOKUP(A46,Management!$A$11:$C$25,2,0))</f>
        <v/>
      </c>
      <c r="C46" s="483"/>
      <c r="D46" s="462"/>
      <c r="E46" s="484"/>
      <c r="F46" s="485" t="str">
        <f>IF(OR(ISBLANK(E46),E46="Other"),"",VLOOKUP(E46,Management!$A$11:$B$25,2,0))</f>
        <v/>
      </c>
      <c r="G46" s="463"/>
      <c r="H46" s="486"/>
      <c r="I46" s="485"/>
      <c r="J46" s="487" t="str">
        <f>IF(ISBLANK(A46),"",IF(OR(ISBLANK(C46),ISBLANK(D46),ISBLANK(G46),ISBLANK(H46),ISBLANK(I46)),"Missing data",H46*VLOOKUP(I46,Ceilings!$J$4:$K$5,2,0)))</f>
        <v/>
      </c>
    </row>
    <row r="47" spans="1:10">
      <c r="A47" s="506"/>
      <c r="B47" s="21" t="str">
        <f>IF(ISBLANK(A47),"",VLOOKUP(A47,Management!$A$11:$C$25,2,0))</f>
        <v/>
      </c>
      <c r="C47" s="483"/>
      <c r="D47" s="462"/>
      <c r="E47" s="484"/>
      <c r="F47" s="485" t="str">
        <f>IF(OR(ISBLANK(E47),E47="Other"),"",VLOOKUP(E47,Management!$A$11:$B$25,2,0))</f>
        <v/>
      </c>
      <c r="G47" s="463"/>
      <c r="H47" s="486"/>
      <c r="I47" s="485"/>
      <c r="J47" s="487" t="str">
        <f>IF(ISBLANK(A47),"",IF(OR(ISBLANK(C47),ISBLANK(D47),ISBLANK(G47),ISBLANK(H47),ISBLANK(I47)),"Missing data",H47*VLOOKUP(I47,Ceilings!$J$4:$K$5,2,0)))</f>
        <v/>
      </c>
    </row>
    <row r="48" spans="1:10">
      <c r="A48" s="506"/>
      <c r="B48" s="21" t="str">
        <f>IF(ISBLANK(A48),"",VLOOKUP(A48,Management!$A$11:$C$25,2,0))</f>
        <v/>
      </c>
      <c r="C48" s="483"/>
      <c r="D48" s="462"/>
      <c r="E48" s="484"/>
      <c r="F48" s="485" t="str">
        <f>IF(OR(ISBLANK(E48),E48="Other"),"",VLOOKUP(E48,Management!$A$11:$B$25,2,0))</f>
        <v/>
      </c>
      <c r="G48" s="463"/>
      <c r="H48" s="486"/>
      <c r="I48" s="485"/>
      <c r="J48" s="487" t="str">
        <f>IF(ISBLANK(A48),"",IF(OR(ISBLANK(C48),ISBLANK(D48),ISBLANK(G48),ISBLANK(H48),ISBLANK(I48)),"Missing data",H48*VLOOKUP(I48,Ceilings!$J$4:$K$5,2,0)))</f>
        <v/>
      </c>
    </row>
    <row r="49" spans="1:10">
      <c r="A49" s="506"/>
      <c r="B49" s="21" t="str">
        <f>IF(ISBLANK(A49),"",VLOOKUP(A49,Management!$A$11:$C$25,2,0))</f>
        <v/>
      </c>
      <c r="C49" s="483"/>
      <c r="D49" s="462"/>
      <c r="E49" s="484"/>
      <c r="F49" s="485" t="str">
        <f>IF(OR(ISBLANK(E49),E49="Other"),"",VLOOKUP(E49,Management!$A$11:$B$25,2,0))</f>
        <v/>
      </c>
      <c r="G49" s="463"/>
      <c r="H49" s="486"/>
      <c r="I49" s="485"/>
      <c r="J49" s="487" t="str">
        <f>IF(ISBLANK(A49),"",IF(OR(ISBLANK(C49),ISBLANK(D49),ISBLANK(G49),ISBLANK(H49),ISBLANK(I49)),"Missing data",H49*VLOOKUP(I49,Ceilings!$J$4:$K$5,2,0)))</f>
        <v/>
      </c>
    </row>
    <row r="50" spans="1:10">
      <c r="A50" s="506"/>
      <c r="B50" s="21" t="str">
        <f>IF(ISBLANK(A50),"",VLOOKUP(A50,Management!$A$11:$C$25,2,0))</f>
        <v/>
      </c>
      <c r="C50" s="483"/>
      <c r="D50" s="462"/>
      <c r="E50" s="484"/>
      <c r="F50" s="485" t="str">
        <f>IF(OR(ISBLANK(E50),E50="Other"),"",VLOOKUP(E50,Management!$A$11:$B$25,2,0))</f>
        <v/>
      </c>
      <c r="G50" s="463"/>
      <c r="H50" s="486"/>
      <c r="I50" s="485"/>
      <c r="J50" s="487" t="str">
        <f>IF(ISBLANK(A50),"",IF(OR(ISBLANK(C50),ISBLANK(D50),ISBLANK(G50),ISBLANK(H50),ISBLANK(I50)),"Missing data",H50*VLOOKUP(I50,Ceilings!$J$4:$K$5,2,0)))</f>
        <v/>
      </c>
    </row>
    <row r="51" spans="1:10">
      <c r="A51" s="506"/>
      <c r="B51" s="21" t="str">
        <f>IF(ISBLANK(A51),"",VLOOKUP(A51,Management!$A$11:$C$25,2,0))</f>
        <v/>
      </c>
      <c r="C51" s="483"/>
      <c r="D51" s="462"/>
      <c r="E51" s="484"/>
      <c r="F51" s="485" t="str">
        <f>IF(OR(ISBLANK(E51),E51="Other"),"",VLOOKUP(E51,Management!$A$11:$B$25,2,0))</f>
        <v/>
      </c>
      <c r="G51" s="463"/>
      <c r="H51" s="486"/>
      <c r="I51" s="485"/>
      <c r="J51" s="487" t="str">
        <f>IF(ISBLANK(A51),"",IF(OR(ISBLANK(C51),ISBLANK(D51),ISBLANK(G51),ISBLANK(H51),ISBLANK(I51)),"Missing data",H51*VLOOKUP(I51,Ceilings!$J$4:$K$5,2,0)))</f>
        <v/>
      </c>
    </row>
    <row r="52" spans="1:10">
      <c r="A52" s="506"/>
      <c r="B52" s="21" t="str">
        <f>IF(ISBLANK(A52),"",VLOOKUP(A52,Management!$A$11:$C$25,2,0))</f>
        <v/>
      </c>
      <c r="C52" s="483"/>
      <c r="D52" s="462"/>
      <c r="E52" s="484"/>
      <c r="F52" s="485" t="str">
        <f>IF(OR(ISBLANK(E52),E52="Other"),"",VLOOKUP(E52,Management!$A$11:$B$25,2,0))</f>
        <v/>
      </c>
      <c r="G52" s="463"/>
      <c r="H52" s="486"/>
      <c r="I52" s="485"/>
      <c r="J52" s="487" t="str">
        <f>IF(ISBLANK(A52),"",IF(OR(ISBLANK(C52),ISBLANK(D52),ISBLANK(G52),ISBLANK(H52),ISBLANK(I52)),"Missing data",H52*VLOOKUP(I52,Ceilings!$J$4:$K$5,2,0)))</f>
        <v/>
      </c>
    </row>
    <row r="53" spans="1:10">
      <c r="A53" s="506"/>
      <c r="B53" s="21" t="str">
        <f>IF(ISBLANK(A53),"",VLOOKUP(A53,Management!$A$11:$C$25,2,0))</f>
        <v/>
      </c>
      <c r="C53" s="483"/>
      <c r="D53" s="462"/>
      <c r="E53" s="484"/>
      <c r="F53" s="485" t="str">
        <f>IF(OR(ISBLANK(E53),E53="Other"),"",VLOOKUP(E53,Management!$A$11:$B$25,2,0))</f>
        <v/>
      </c>
      <c r="G53" s="463"/>
      <c r="H53" s="486"/>
      <c r="I53" s="485"/>
      <c r="J53" s="487" t="str">
        <f>IF(ISBLANK(A53),"",IF(OR(ISBLANK(C53),ISBLANK(D53),ISBLANK(G53),ISBLANK(H53),ISBLANK(I53)),"Missing data",H53*VLOOKUP(I53,Ceilings!$J$4:$K$5,2,0)))</f>
        <v/>
      </c>
    </row>
    <row r="54" spans="1:10">
      <c r="A54" s="506"/>
      <c r="B54" s="21" t="str">
        <f>IF(ISBLANK(A54),"",VLOOKUP(A54,Management!$A$11:$C$25,2,0))</f>
        <v/>
      </c>
      <c r="C54" s="483"/>
      <c r="D54" s="462"/>
      <c r="E54" s="484"/>
      <c r="F54" s="485" t="str">
        <f>IF(OR(ISBLANK(E54),E54="Other"),"",VLOOKUP(E54,Management!$A$11:$B$25,2,0))</f>
        <v/>
      </c>
      <c r="G54" s="463"/>
      <c r="H54" s="486"/>
      <c r="I54" s="485"/>
      <c r="J54" s="487" t="str">
        <f>IF(ISBLANK(A54),"",IF(OR(ISBLANK(C54),ISBLANK(D54),ISBLANK(G54),ISBLANK(H54),ISBLANK(I54)),"Missing data",H54*VLOOKUP(I54,Ceilings!$J$4:$K$5,2,0)))</f>
        <v/>
      </c>
    </row>
    <row r="55" spans="1:10">
      <c r="A55" s="506"/>
      <c r="B55" s="21" t="str">
        <f>IF(ISBLANK(A55),"",VLOOKUP(A55,Management!$A$11:$C$25,2,0))</f>
        <v/>
      </c>
      <c r="C55" s="483"/>
      <c r="D55" s="462"/>
      <c r="E55" s="484"/>
      <c r="F55" s="485" t="str">
        <f>IF(OR(ISBLANK(E55),E55="Other"),"",VLOOKUP(E55,Management!$A$11:$B$25,2,0))</f>
        <v/>
      </c>
      <c r="G55" s="463"/>
      <c r="H55" s="486"/>
      <c r="I55" s="485"/>
      <c r="J55" s="487" t="str">
        <f>IF(ISBLANK(A55),"",IF(OR(ISBLANK(C55),ISBLANK(D55),ISBLANK(G55),ISBLANK(H55),ISBLANK(I55)),"Missing data",H55*VLOOKUP(I55,Ceilings!$J$4:$K$5,2,0)))</f>
        <v/>
      </c>
    </row>
    <row r="56" spans="1:10">
      <c r="A56" s="506"/>
      <c r="B56" s="21" t="str">
        <f>IF(ISBLANK(A56),"",VLOOKUP(A56,Management!$A$11:$C$25,2,0))</f>
        <v/>
      </c>
      <c r="C56" s="483"/>
      <c r="D56" s="462"/>
      <c r="E56" s="484"/>
      <c r="F56" s="485" t="str">
        <f>IF(OR(ISBLANK(E56),E56="Other"),"",VLOOKUP(E56,Management!$A$11:$B$25,2,0))</f>
        <v/>
      </c>
      <c r="G56" s="463"/>
      <c r="H56" s="486"/>
      <c r="I56" s="485"/>
      <c r="J56" s="487" t="str">
        <f>IF(ISBLANK(A56),"",IF(OR(ISBLANK(C56),ISBLANK(D56),ISBLANK(G56),ISBLANK(H56),ISBLANK(I56)),"Missing data",H56*VLOOKUP(I56,Ceilings!$J$4:$K$5,2,0)))</f>
        <v/>
      </c>
    </row>
    <row r="57" spans="1:10">
      <c r="A57" s="506"/>
      <c r="B57" s="21" t="str">
        <f>IF(ISBLANK(A57),"",VLOOKUP(A57,Management!$A$11:$C$25,2,0))</f>
        <v/>
      </c>
      <c r="C57" s="483"/>
      <c r="D57" s="462"/>
      <c r="E57" s="484"/>
      <c r="F57" s="485" t="str">
        <f>IF(OR(ISBLANK(E57),E57="Other"),"",VLOOKUP(E57,Management!$A$11:$B$25,2,0))</f>
        <v/>
      </c>
      <c r="G57" s="463"/>
      <c r="H57" s="486"/>
      <c r="I57" s="485"/>
      <c r="J57" s="487" t="str">
        <f>IF(ISBLANK(A57),"",IF(OR(ISBLANK(C57),ISBLANK(D57),ISBLANK(G57),ISBLANK(H57),ISBLANK(I57)),"Missing data",H57*VLOOKUP(I57,Ceilings!$J$4:$K$5,2,0)))</f>
        <v/>
      </c>
    </row>
    <row r="58" spans="1:10">
      <c r="A58" s="506"/>
      <c r="B58" s="21" t="str">
        <f>IF(ISBLANK(A58),"",VLOOKUP(A58,Management!$A$11:$C$25,2,0))</f>
        <v/>
      </c>
      <c r="C58" s="483"/>
      <c r="D58" s="462"/>
      <c r="E58" s="484"/>
      <c r="F58" s="485" t="str">
        <f>IF(OR(ISBLANK(E58),E58="Other"),"",VLOOKUP(E58,Management!$A$11:$B$25,2,0))</f>
        <v/>
      </c>
      <c r="G58" s="463"/>
      <c r="H58" s="486"/>
      <c r="I58" s="485"/>
      <c r="J58" s="487" t="str">
        <f>IF(ISBLANK(A58),"",IF(OR(ISBLANK(C58),ISBLANK(D58),ISBLANK(G58),ISBLANK(H58),ISBLANK(I58)),"Missing data",H58*VLOOKUP(I58,Ceilings!$J$4:$K$5,2,0)))</f>
        <v/>
      </c>
    </row>
    <row r="59" spans="1:10">
      <c r="A59" s="506"/>
      <c r="B59" s="21" t="str">
        <f>IF(ISBLANK(A59),"",VLOOKUP(A59,Management!$A$11:$C$25,2,0))</f>
        <v/>
      </c>
      <c r="C59" s="483"/>
      <c r="D59" s="462"/>
      <c r="E59" s="484"/>
      <c r="F59" s="485" t="str">
        <f>IF(OR(ISBLANK(E59),E59="Other"),"",VLOOKUP(E59,Management!$A$11:$B$25,2,0))</f>
        <v/>
      </c>
      <c r="G59" s="463"/>
      <c r="H59" s="486"/>
      <c r="I59" s="485"/>
      <c r="J59" s="487" t="str">
        <f>IF(ISBLANK(A59),"",IF(OR(ISBLANK(C59),ISBLANK(D59),ISBLANK(G59),ISBLANK(H59),ISBLANK(I59)),"Missing data",H59*VLOOKUP(I59,Ceilings!$J$4:$K$5,2,0)))</f>
        <v/>
      </c>
    </row>
    <row r="60" spans="1:10">
      <c r="A60" s="506"/>
      <c r="B60" s="21" t="str">
        <f>IF(ISBLANK(A60),"",VLOOKUP(A60,Management!$A$11:$C$25,2,0))</f>
        <v/>
      </c>
      <c r="C60" s="483"/>
      <c r="D60" s="462"/>
      <c r="E60" s="484"/>
      <c r="F60" s="485" t="str">
        <f>IF(OR(ISBLANK(E60),E60="Other"),"",VLOOKUP(E60,Management!$A$11:$B$25,2,0))</f>
        <v/>
      </c>
      <c r="G60" s="463"/>
      <c r="H60" s="486"/>
      <c r="I60" s="485"/>
      <c r="J60" s="487" t="str">
        <f>IF(ISBLANK(A60),"",IF(OR(ISBLANK(C60),ISBLANK(D60),ISBLANK(G60),ISBLANK(H60),ISBLANK(I60)),"Missing data",H60*VLOOKUP(I60,Ceilings!$J$4:$K$5,2,0)))</f>
        <v/>
      </c>
    </row>
    <row r="61" spans="1:10">
      <c r="A61" s="506"/>
      <c r="B61" s="21" t="str">
        <f>IF(ISBLANK(A61),"",VLOOKUP(A61,Management!$A$11:$C$25,2,0))</f>
        <v/>
      </c>
      <c r="C61" s="483"/>
      <c r="D61" s="462"/>
      <c r="E61" s="484"/>
      <c r="F61" s="485" t="str">
        <f>IF(OR(ISBLANK(E61),E61="Other"),"",VLOOKUP(E61,Management!$A$11:$B$25,2,0))</f>
        <v/>
      </c>
      <c r="G61" s="463"/>
      <c r="H61" s="486"/>
      <c r="I61" s="485"/>
      <c r="J61" s="487" t="str">
        <f>IF(ISBLANK(A61),"",IF(OR(ISBLANK(C61),ISBLANK(D61),ISBLANK(G61),ISBLANK(H61),ISBLANK(I61)),"Missing data",H61*VLOOKUP(I61,Ceilings!$J$4:$K$5,2,0)))</f>
        <v/>
      </c>
    </row>
    <row r="62" spans="1:10">
      <c r="A62" s="506"/>
      <c r="B62" s="21" t="str">
        <f>IF(ISBLANK(A62),"",VLOOKUP(A62,Management!$A$11:$C$25,2,0))</f>
        <v/>
      </c>
      <c r="C62" s="483"/>
      <c r="D62" s="462"/>
      <c r="E62" s="484"/>
      <c r="F62" s="485" t="str">
        <f>IF(OR(ISBLANK(E62),E62="Other"),"",VLOOKUP(E62,Management!$A$11:$B$25,2,0))</f>
        <v/>
      </c>
      <c r="G62" s="463"/>
      <c r="H62" s="486"/>
      <c r="I62" s="485"/>
      <c r="J62" s="487" t="str">
        <f>IF(ISBLANK(A62),"",IF(OR(ISBLANK(C62),ISBLANK(D62),ISBLANK(G62),ISBLANK(H62),ISBLANK(I62)),"Missing data",H62*VLOOKUP(I62,Ceilings!$J$4:$K$5,2,0)))</f>
        <v/>
      </c>
    </row>
    <row r="63" spans="1:10">
      <c r="A63" s="506"/>
      <c r="B63" s="21" t="str">
        <f>IF(ISBLANK(A63),"",VLOOKUP(A63,Management!$A$11:$C$25,2,0))</f>
        <v/>
      </c>
      <c r="C63" s="483"/>
      <c r="D63" s="462"/>
      <c r="E63" s="484"/>
      <c r="F63" s="485" t="str">
        <f>IF(OR(ISBLANK(E63),E63="Other"),"",VLOOKUP(E63,Management!$A$11:$B$25,2,0))</f>
        <v/>
      </c>
      <c r="G63" s="463"/>
      <c r="H63" s="486"/>
      <c r="I63" s="485"/>
      <c r="J63" s="487" t="str">
        <f>IF(ISBLANK(A63),"",IF(OR(ISBLANK(C63),ISBLANK(D63),ISBLANK(G63),ISBLANK(H63),ISBLANK(I63)),"Missing data",H63*VLOOKUP(I63,Ceilings!$J$4:$K$5,2,0)))</f>
        <v/>
      </c>
    </row>
    <row r="64" spans="1:10">
      <c r="A64" s="506"/>
      <c r="B64" s="21" t="str">
        <f>IF(ISBLANK(A64),"",VLOOKUP(A64,Management!$A$11:$C$25,2,0))</f>
        <v/>
      </c>
      <c r="C64" s="483"/>
      <c r="D64" s="462"/>
      <c r="E64" s="484"/>
      <c r="F64" s="485" t="str">
        <f>IF(OR(ISBLANK(E64),E64="Other"),"",VLOOKUP(E64,Management!$A$11:$B$25,2,0))</f>
        <v/>
      </c>
      <c r="G64" s="463"/>
      <c r="H64" s="486"/>
      <c r="I64" s="485"/>
      <c r="J64" s="487" t="str">
        <f>IF(ISBLANK(A64),"",IF(OR(ISBLANK(C64),ISBLANK(D64),ISBLANK(G64),ISBLANK(H64),ISBLANK(I64)),"Missing data",H64*VLOOKUP(I64,Ceilings!$J$4:$K$5,2,0)))</f>
        <v/>
      </c>
    </row>
    <row r="65" spans="1:10">
      <c r="A65" s="506"/>
      <c r="B65" s="21" t="str">
        <f>IF(ISBLANK(A65),"",VLOOKUP(A65,Management!$A$11:$C$25,2,0))</f>
        <v/>
      </c>
      <c r="C65" s="483"/>
      <c r="D65" s="462"/>
      <c r="E65" s="484"/>
      <c r="F65" s="485" t="str">
        <f>IF(OR(ISBLANK(E65),E65="Other"),"",VLOOKUP(E65,Management!$A$11:$B$25,2,0))</f>
        <v/>
      </c>
      <c r="G65" s="463"/>
      <c r="H65" s="486"/>
      <c r="I65" s="485"/>
      <c r="J65" s="487" t="str">
        <f>IF(ISBLANK(A65),"",IF(OR(ISBLANK(C65),ISBLANK(D65),ISBLANK(G65),ISBLANK(H65),ISBLANK(I65)),"Missing data",H65*VLOOKUP(I65,Ceilings!$J$4:$K$5,2,0)))</f>
        <v/>
      </c>
    </row>
    <row r="66" spans="1:10">
      <c r="A66" s="506"/>
      <c r="B66" s="21" t="str">
        <f>IF(ISBLANK(A66),"",VLOOKUP(A66,Management!$A$11:$C$25,2,0))</f>
        <v/>
      </c>
      <c r="C66" s="483"/>
      <c r="D66" s="462"/>
      <c r="E66" s="484"/>
      <c r="F66" s="485" t="str">
        <f>IF(OR(ISBLANK(E66),E66="Other"),"",VLOOKUP(E66,Management!$A$11:$B$25,2,0))</f>
        <v/>
      </c>
      <c r="G66" s="463"/>
      <c r="H66" s="486"/>
      <c r="I66" s="485"/>
      <c r="J66" s="487" t="str">
        <f>IF(ISBLANK(A66),"",IF(OR(ISBLANK(C66),ISBLANK(D66),ISBLANK(G66),ISBLANK(H66),ISBLANK(I66)),"Missing data",H66*VLOOKUP(I66,Ceilings!$J$4:$K$5,2,0)))</f>
        <v/>
      </c>
    </row>
    <row r="67" spans="1:10">
      <c r="A67" s="506"/>
      <c r="B67" s="21" t="str">
        <f>IF(ISBLANK(A67),"",VLOOKUP(A67,Management!$A$11:$C$25,2,0))</f>
        <v/>
      </c>
      <c r="C67" s="483"/>
      <c r="D67" s="462"/>
      <c r="E67" s="484"/>
      <c r="F67" s="485" t="str">
        <f>IF(OR(ISBLANK(E67),E67="Other"),"",VLOOKUP(E67,Management!$A$11:$B$25,2,0))</f>
        <v/>
      </c>
      <c r="G67" s="463"/>
      <c r="H67" s="486"/>
      <c r="I67" s="485"/>
      <c r="J67" s="487" t="str">
        <f>IF(ISBLANK(A67),"",IF(OR(ISBLANK(C67),ISBLANK(D67),ISBLANK(G67),ISBLANK(H67),ISBLANK(I67)),"Missing data",H67*VLOOKUP(I67,Ceilings!$J$4:$K$5,2,0)))</f>
        <v/>
      </c>
    </row>
    <row r="68" spans="1:10">
      <c r="A68" s="506"/>
      <c r="B68" s="21" t="str">
        <f>IF(ISBLANK(A68),"",VLOOKUP(A68,Management!$A$11:$C$25,2,0))</f>
        <v/>
      </c>
      <c r="C68" s="483"/>
      <c r="D68" s="462"/>
      <c r="E68" s="484"/>
      <c r="F68" s="485" t="str">
        <f>IF(OR(ISBLANK(E68),E68="Other"),"",VLOOKUP(E68,Management!$A$11:$B$25,2,0))</f>
        <v/>
      </c>
      <c r="G68" s="463"/>
      <c r="H68" s="486"/>
      <c r="I68" s="485"/>
      <c r="J68" s="487" t="str">
        <f>IF(ISBLANK(A68),"",IF(OR(ISBLANK(C68),ISBLANK(D68),ISBLANK(G68),ISBLANK(H68),ISBLANK(I68)),"Missing data",H68*VLOOKUP(I68,Ceilings!$J$4:$K$5,2,0)))</f>
        <v/>
      </c>
    </row>
    <row r="69" spans="1:10">
      <c r="A69" s="506"/>
      <c r="B69" s="21" t="str">
        <f>IF(ISBLANK(A69),"",VLOOKUP(A69,Management!$A$11:$C$25,2,0))</f>
        <v/>
      </c>
      <c r="C69" s="483"/>
      <c r="D69" s="462"/>
      <c r="E69" s="484"/>
      <c r="F69" s="485" t="str">
        <f>IF(OR(ISBLANK(E69),E69="Other"),"",VLOOKUP(E69,Management!$A$11:$B$25,2,0))</f>
        <v/>
      </c>
      <c r="G69" s="463"/>
      <c r="H69" s="486"/>
      <c r="I69" s="485"/>
      <c r="J69" s="487" t="str">
        <f>IF(ISBLANK(A69),"",IF(OR(ISBLANK(C69),ISBLANK(D69),ISBLANK(G69),ISBLANK(H69),ISBLANK(I69)),"Missing data",H69*VLOOKUP(I69,Ceilings!$J$4:$K$5,2,0)))</f>
        <v/>
      </c>
    </row>
    <row r="70" spans="1:10">
      <c r="A70" s="506"/>
      <c r="B70" s="21" t="str">
        <f>IF(ISBLANK(A70),"",VLOOKUP(A70,Management!$A$11:$C$25,2,0))</f>
        <v/>
      </c>
      <c r="C70" s="483"/>
      <c r="D70" s="462"/>
      <c r="E70" s="484"/>
      <c r="F70" s="485" t="str">
        <f>IF(OR(ISBLANK(E70),E70="Other"),"",VLOOKUP(E70,Management!$A$11:$B$25,2,0))</f>
        <v/>
      </c>
      <c r="G70" s="463"/>
      <c r="H70" s="486"/>
      <c r="I70" s="485"/>
      <c r="J70" s="487" t="str">
        <f>IF(ISBLANK(A70),"",IF(OR(ISBLANK(C70),ISBLANK(D70),ISBLANK(G70),ISBLANK(H70),ISBLANK(I70)),"Missing data",H70*VLOOKUP(I70,Ceilings!$J$4:$K$5,2,0)))</f>
        <v/>
      </c>
    </row>
    <row r="71" spans="1:10">
      <c r="A71" s="506"/>
      <c r="B71" s="21" t="str">
        <f>IF(ISBLANK(A71),"",VLOOKUP(A71,Management!$A$11:$C$25,2,0))</f>
        <v/>
      </c>
      <c r="C71" s="483"/>
      <c r="D71" s="462"/>
      <c r="E71" s="484"/>
      <c r="F71" s="485" t="str">
        <f>IF(OR(ISBLANK(E71),E71="Other"),"",VLOOKUP(E71,Management!$A$11:$B$25,2,0))</f>
        <v/>
      </c>
      <c r="G71" s="463"/>
      <c r="H71" s="486"/>
      <c r="I71" s="485"/>
      <c r="J71" s="487" t="str">
        <f>IF(ISBLANK(A71),"",IF(OR(ISBLANK(C71),ISBLANK(D71),ISBLANK(G71),ISBLANK(H71),ISBLANK(I71)),"Missing data",H71*VLOOKUP(I71,Ceilings!$J$4:$K$5,2,0)))</f>
        <v/>
      </c>
    </row>
    <row r="72" spans="1:10">
      <c r="A72" s="506"/>
      <c r="B72" s="21" t="str">
        <f>IF(ISBLANK(A72),"",VLOOKUP(A72,Management!$A$11:$C$25,2,0))</f>
        <v/>
      </c>
      <c r="C72" s="483"/>
      <c r="D72" s="462"/>
      <c r="E72" s="484"/>
      <c r="F72" s="485" t="str">
        <f>IF(OR(ISBLANK(E72),E72="Other"),"",VLOOKUP(E72,Management!$A$11:$B$25,2,0))</f>
        <v/>
      </c>
      <c r="G72" s="463"/>
      <c r="H72" s="486"/>
      <c r="I72" s="485"/>
      <c r="J72" s="487" t="str">
        <f>IF(ISBLANK(A72),"",IF(OR(ISBLANK(C72),ISBLANK(D72),ISBLANK(G72),ISBLANK(H72),ISBLANK(I72)),"Missing data",H72*VLOOKUP(I72,Ceilings!$J$4:$K$5,2,0)))</f>
        <v/>
      </c>
    </row>
    <row r="73" spans="1:10">
      <c r="A73" s="506"/>
      <c r="B73" s="21" t="str">
        <f>IF(ISBLANK(A73),"",VLOOKUP(A73,Management!$A$11:$C$25,2,0))</f>
        <v/>
      </c>
      <c r="C73" s="483"/>
      <c r="D73" s="462"/>
      <c r="E73" s="484"/>
      <c r="F73" s="485" t="str">
        <f>IF(OR(ISBLANK(E73),E73="Other"),"",VLOOKUP(E73,Management!$A$11:$B$25,2,0))</f>
        <v/>
      </c>
      <c r="G73" s="463"/>
      <c r="H73" s="486"/>
      <c r="I73" s="485"/>
      <c r="J73" s="487" t="str">
        <f>IF(ISBLANK(A73),"",IF(OR(ISBLANK(C73),ISBLANK(D73),ISBLANK(G73),ISBLANK(H73),ISBLANK(I73)),"Missing data",H73*VLOOKUP(I73,Ceilings!$J$4:$K$5,2,0)))</f>
        <v/>
      </c>
    </row>
    <row r="74" spans="1:10">
      <c r="A74" s="506"/>
      <c r="B74" s="21" t="str">
        <f>IF(ISBLANK(A74),"",VLOOKUP(A74,Management!$A$11:$C$25,2,0))</f>
        <v/>
      </c>
      <c r="C74" s="483"/>
      <c r="D74" s="462"/>
      <c r="E74" s="484"/>
      <c r="F74" s="485" t="str">
        <f>IF(OR(ISBLANK(E74),E74="Other"),"",VLOOKUP(E74,Management!$A$11:$B$25,2,0))</f>
        <v/>
      </c>
      <c r="G74" s="463"/>
      <c r="H74" s="486"/>
      <c r="I74" s="485"/>
      <c r="J74" s="487" t="str">
        <f>IF(ISBLANK(A74),"",IF(OR(ISBLANK(C74),ISBLANK(D74),ISBLANK(G74),ISBLANK(H74),ISBLANK(I74)),"Missing data",H74*VLOOKUP(I74,Ceilings!$J$4:$K$5,2,0)))</f>
        <v/>
      </c>
    </row>
    <row r="75" spans="1:10">
      <c r="A75" s="506"/>
      <c r="B75" s="21" t="str">
        <f>IF(ISBLANK(A75),"",VLOOKUP(A75,Management!$A$11:$C$25,2,0))</f>
        <v/>
      </c>
      <c r="C75" s="483"/>
      <c r="D75" s="462"/>
      <c r="E75" s="484"/>
      <c r="F75" s="485" t="str">
        <f>IF(OR(ISBLANK(E75),E75="Other"),"",VLOOKUP(E75,Management!$A$11:$B$25,2,0))</f>
        <v/>
      </c>
      <c r="G75" s="463"/>
      <c r="H75" s="486"/>
      <c r="I75" s="485"/>
      <c r="J75" s="487" t="str">
        <f>IF(ISBLANK(A75),"",IF(OR(ISBLANK(C75),ISBLANK(D75),ISBLANK(G75),ISBLANK(H75),ISBLANK(I75)),"Missing data",H75*VLOOKUP(I75,Ceilings!$J$4:$K$5,2,0)))</f>
        <v/>
      </c>
    </row>
    <row r="76" spans="1:10">
      <c r="A76" s="506"/>
      <c r="B76" s="21" t="str">
        <f>IF(ISBLANK(A76),"",VLOOKUP(A76,Management!$A$11:$C$25,2,0))</f>
        <v/>
      </c>
      <c r="C76" s="483"/>
      <c r="D76" s="462"/>
      <c r="E76" s="484"/>
      <c r="F76" s="485" t="str">
        <f>IF(OR(ISBLANK(E76),E76="Other"),"",VLOOKUP(E76,Management!$A$11:$B$25,2,0))</f>
        <v/>
      </c>
      <c r="G76" s="463"/>
      <c r="H76" s="486"/>
      <c r="I76" s="485"/>
      <c r="J76" s="487" t="str">
        <f>IF(ISBLANK(A76),"",IF(OR(ISBLANK(C76),ISBLANK(D76),ISBLANK(G76),ISBLANK(H76),ISBLANK(I76)),"Missing data",H76*VLOOKUP(I76,Ceilings!$J$4:$K$5,2,0)))</f>
        <v/>
      </c>
    </row>
    <row r="77" spans="1:10">
      <c r="A77" s="506"/>
      <c r="B77" s="21" t="str">
        <f>IF(ISBLANK(A77),"",VLOOKUP(A77,Management!$A$11:$C$25,2,0))</f>
        <v/>
      </c>
      <c r="C77" s="483"/>
      <c r="D77" s="462"/>
      <c r="E77" s="484"/>
      <c r="F77" s="485" t="str">
        <f>IF(OR(ISBLANK(E77),E77="Other"),"",VLOOKUP(E77,Management!$A$11:$B$25,2,0))</f>
        <v/>
      </c>
      <c r="G77" s="463"/>
      <c r="H77" s="486"/>
      <c r="I77" s="485"/>
      <c r="J77" s="487" t="str">
        <f>IF(ISBLANK(A77),"",IF(OR(ISBLANK(C77),ISBLANK(D77),ISBLANK(G77),ISBLANK(H77),ISBLANK(I77)),"Missing data",H77*VLOOKUP(I77,Ceilings!$J$4:$K$5,2,0)))</f>
        <v/>
      </c>
    </row>
    <row r="78" spans="1:10">
      <c r="A78" s="506"/>
      <c r="B78" s="21" t="str">
        <f>IF(ISBLANK(A78),"",VLOOKUP(A78,Management!$A$11:$C$25,2,0))</f>
        <v/>
      </c>
      <c r="C78" s="483"/>
      <c r="D78" s="462"/>
      <c r="E78" s="484"/>
      <c r="F78" s="485" t="str">
        <f>IF(OR(ISBLANK(E78),E78="Other"),"",VLOOKUP(E78,Management!$A$11:$B$25,2,0))</f>
        <v/>
      </c>
      <c r="G78" s="463"/>
      <c r="H78" s="486"/>
      <c r="I78" s="485"/>
      <c r="J78" s="487" t="str">
        <f>IF(ISBLANK(A78),"",IF(OR(ISBLANK(C78),ISBLANK(D78),ISBLANK(G78),ISBLANK(H78),ISBLANK(I78)),"Missing data",H78*VLOOKUP(I78,Ceilings!$J$4:$K$5,2,0)))</f>
        <v/>
      </c>
    </row>
    <row r="79" spans="1:10">
      <c r="A79" s="506"/>
      <c r="B79" s="21" t="str">
        <f>IF(ISBLANK(A79),"",VLOOKUP(A79,Management!$A$11:$C$25,2,0))</f>
        <v/>
      </c>
      <c r="C79" s="483"/>
      <c r="D79" s="462"/>
      <c r="E79" s="484"/>
      <c r="F79" s="485" t="str">
        <f>IF(OR(ISBLANK(E79),E79="Other"),"",VLOOKUP(E79,Management!$A$11:$B$25,2,0))</f>
        <v/>
      </c>
      <c r="G79" s="463"/>
      <c r="H79" s="486"/>
      <c r="I79" s="485"/>
      <c r="J79" s="487" t="str">
        <f>IF(ISBLANK(A79),"",IF(OR(ISBLANK(C79),ISBLANK(D79),ISBLANK(G79),ISBLANK(H79),ISBLANK(I79)),"Missing data",H79*VLOOKUP(I79,Ceilings!$J$4:$K$5,2,0)))</f>
        <v/>
      </c>
    </row>
    <row r="80" spans="1:10">
      <c r="A80" s="506"/>
      <c r="B80" s="21" t="str">
        <f>IF(ISBLANK(A80),"",VLOOKUP(A80,Management!$A$11:$C$25,2,0))</f>
        <v/>
      </c>
      <c r="C80" s="483"/>
      <c r="D80" s="462"/>
      <c r="E80" s="484"/>
      <c r="F80" s="485" t="str">
        <f>IF(OR(ISBLANK(E80),E80="Other"),"",VLOOKUP(E80,Management!$A$11:$B$25,2,0))</f>
        <v/>
      </c>
      <c r="G80" s="463"/>
      <c r="H80" s="486"/>
      <c r="I80" s="485"/>
      <c r="J80" s="487" t="str">
        <f>IF(ISBLANK(A80),"",IF(OR(ISBLANK(C80),ISBLANK(D80),ISBLANK(G80),ISBLANK(H80),ISBLANK(I80)),"Missing data",H80*VLOOKUP(I80,Ceilings!$J$4:$K$5,2,0)))</f>
        <v/>
      </c>
    </row>
    <row r="81" spans="1:10">
      <c r="A81" s="506"/>
      <c r="B81" s="21" t="str">
        <f>IF(ISBLANK(A81),"",VLOOKUP(A81,Management!$A$11:$C$25,2,0))</f>
        <v/>
      </c>
      <c r="C81" s="483"/>
      <c r="D81" s="462"/>
      <c r="E81" s="484"/>
      <c r="F81" s="485" t="str">
        <f>IF(OR(ISBLANK(E81),E81="Other"),"",VLOOKUP(E81,Management!$A$11:$B$25,2,0))</f>
        <v/>
      </c>
      <c r="G81" s="463"/>
      <c r="H81" s="486"/>
      <c r="I81" s="485"/>
      <c r="J81" s="487" t="str">
        <f>IF(ISBLANK(A81),"",IF(OR(ISBLANK(C81),ISBLANK(D81),ISBLANK(G81),ISBLANK(H81),ISBLANK(I81)),"Missing data",H81*VLOOKUP(I81,Ceilings!$J$4:$K$5,2,0)))</f>
        <v/>
      </c>
    </row>
    <row r="82" spans="1:10">
      <c r="A82" s="506"/>
      <c r="B82" s="21" t="str">
        <f>IF(ISBLANK(A82),"",VLOOKUP(A82,Management!$A$11:$C$25,2,0))</f>
        <v/>
      </c>
      <c r="C82" s="483"/>
      <c r="D82" s="462"/>
      <c r="E82" s="484"/>
      <c r="F82" s="485" t="str">
        <f>IF(OR(ISBLANK(E82),E82="Other"),"",VLOOKUP(E82,Management!$A$11:$B$25,2,0))</f>
        <v/>
      </c>
      <c r="G82" s="463"/>
      <c r="H82" s="486"/>
      <c r="I82" s="485"/>
      <c r="J82" s="487" t="str">
        <f>IF(ISBLANK(A82),"",IF(OR(ISBLANK(C82),ISBLANK(D82),ISBLANK(G82),ISBLANK(H82),ISBLANK(I82)),"Missing data",H82*VLOOKUP(I82,Ceilings!$J$4:$K$5,2,0)))</f>
        <v/>
      </c>
    </row>
    <row r="83" spans="1:10">
      <c r="A83" s="506"/>
      <c r="B83" s="21" t="str">
        <f>IF(ISBLANK(A83),"",VLOOKUP(A83,Management!$A$11:$C$25,2,0))</f>
        <v/>
      </c>
      <c r="C83" s="483"/>
      <c r="D83" s="462"/>
      <c r="E83" s="484"/>
      <c r="F83" s="485" t="str">
        <f>IF(OR(ISBLANK(E83),E83="Other"),"",VLOOKUP(E83,Management!$A$11:$B$25,2,0))</f>
        <v/>
      </c>
      <c r="G83" s="463"/>
      <c r="H83" s="486"/>
      <c r="I83" s="485"/>
      <c r="J83" s="487" t="str">
        <f>IF(ISBLANK(A83),"",IF(OR(ISBLANK(C83),ISBLANK(D83),ISBLANK(G83),ISBLANK(H83),ISBLANK(I83)),"Missing data",H83*VLOOKUP(I83,Ceilings!$J$4:$K$5,2,0)))</f>
        <v/>
      </c>
    </row>
    <row r="84" spans="1:10">
      <c r="A84" s="506"/>
      <c r="B84" s="21" t="str">
        <f>IF(ISBLANK(A84),"",VLOOKUP(A84,Management!$A$11:$C$25,2,0))</f>
        <v/>
      </c>
      <c r="C84" s="483"/>
      <c r="D84" s="462"/>
      <c r="E84" s="484"/>
      <c r="F84" s="485" t="str">
        <f>IF(OR(ISBLANK(E84),E84="Other"),"",VLOOKUP(E84,Management!$A$11:$B$25,2,0))</f>
        <v/>
      </c>
      <c r="G84" s="463"/>
      <c r="H84" s="486"/>
      <c r="I84" s="485"/>
      <c r="J84" s="487" t="str">
        <f>IF(ISBLANK(A84),"",IF(OR(ISBLANK(C84),ISBLANK(D84),ISBLANK(G84),ISBLANK(H84),ISBLANK(I84)),"Missing data",H84*VLOOKUP(I84,Ceilings!$J$4:$K$5,2,0)))</f>
        <v/>
      </c>
    </row>
    <row r="85" spans="1:10">
      <c r="A85" s="506"/>
      <c r="B85" s="21" t="str">
        <f>IF(ISBLANK(A85),"",VLOOKUP(A85,Management!$A$11:$C$25,2,0))</f>
        <v/>
      </c>
      <c r="C85" s="483"/>
      <c r="D85" s="462"/>
      <c r="E85" s="484"/>
      <c r="F85" s="485" t="str">
        <f>IF(OR(ISBLANK(E85),E85="Other"),"",VLOOKUP(E85,Management!$A$11:$B$25,2,0))</f>
        <v/>
      </c>
      <c r="G85" s="463"/>
      <c r="H85" s="486"/>
      <c r="I85" s="485"/>
      <c r="J85" s="487" t="str">
        <f>IF(ISBLANK(A85),"",IF(OR(ISBLANK(C85),ISBLANK(D85),ISBLANK(G85),ISBLANK(H85),ISBLANK(I85)),"Missing data",H85*VLOOKUP(I85,Ceilings!$J$4:$K$5,2,0)))</f>
        <v/>
      </c>
    </row>
    <row r="86" spans="1:10">
      <c r="A86" s="506"/>
      <c r="B86" s="21" t="str">
        <f>IF(ISBLANK(A86),"",VLOOKUP(A86,Management!$A$11:$C$25,2,0))</f>
        <v/>
      </c>
      <c r="C86" s="483"/>
      <c r="D86" s="462"/>
      <c r="E86" s="484"/>
      <c r="F86" s="485" t="str">
        <f>IF(OR(ISBLANK(E86),E86="Other"),"",VLOOKUP(E86,Management!$A$11:$B$25,2,0))</f>
        <v/>
      </c>
      <c r="G86" s="463"/>
      <c r="H86" s="486"/>
      <c r="I86" s="485"/>
      <c r="J86" s="487" t="str">
        <f>IF(ISBLANK(A86),"",IF(OR(ISBLANK(C86),ISBLANK(D86),ISBLANK(G86),ISBLANK(H86),ISBLANK(I86)),"Missing data",H86*VLOOKUP(I86,Ceilings!$J$4:$K$5,2,0)))</f>
        <v/>
      </c>
    </row>
    <row r="87" spans="1:10">
      <c r="A87" s="506"/>
      <c r="B87" s="21" t="str">
        <f>IF(ISBLANK(A87),"",VLOOKUP(A87,Management!$A$11:$C$25,2,0))</f>
        <v/>
      </c>
      <c r="C87" s="483"/>
      <c r="D87" s="462"/>
      <c r="E87" s="484"/>
      <c r="F87" s="485" t="str">
        <f>IF(OR(ISBLANK(E87),E87="Other"),"",VLOOKUP(E87,Management!$A$11:$B$25,2,0))</f>
        <v/>
      </c>
      <c r="G87" s="463"/>
      <c r="H87" s="486"/>
      <c r="I87" s="485"/>
      <c r="J87" s="487" t="str">
        <f>IF(ISBLANK(A87),"",IF(OR(ISBLANK(C87),ISBLANK(D87),ISBLANK(G87),ISBLANK(H87),ISBLANK(I87)),"Missing data",H87*VLOOKUP(I87,Ceilings!$J$4:$K$5,2,0)))</f>
        <v/>
      </c>
    </row>
    <row r="88" spans="1:10">
      <c r="A88" s="506"/>
      <c r="B88" s="21" t="str">
        <f>IF(ISBLANK(A88),"",VLOOKUP(A88,Management!$A$11:$C$25,2,0))</f>
        <v/>
      </c>
      <c r="C88" s="483"/>
      <c r="D88" s="462"/>
      <c r="E88" s="484"/>
      <c r="F88" s="485" t="str">
        <f>IF(OR(ISBLANK(E88),E88="Other"),"",VLOOKUP(E88,Management!$A$11:$B$25,2,0))</f>
        <v/>
      </c>
      <c r="G88" s="463"/>
      <c r="H88" s="486"/>
      <c r="I88" s="485"/>
      <c r="J88" s="487" t="str">
        <f>IF(ISBLANK(A88),"",IF(OR(ISBLANK(C88),ISBLANK(D88),ISBLANK(G88),ISBLANK(H88),ISBLANK(I88)),"Missing data",H88*VLOOKUP(I88,Ceilings!$J$4:$K$5,2,0)))</f>
        <v/>
      </c>
    </row>
    <row r="89" spans="1:10">
      <c r="A89" s="506"/>
      <c r="B89" s="21" t="str">
        <f>IF(ISBLANK(A89),"",VLOOKUP(A89,Management!$A$11:$C$25,2,0))</f>
        <v/>
      </c>
      <c r="C89" s="483"/>
      <c r="D89" s="462"/>
      <c r="E89" s="484"/>
      <c r="F89" s="485" t="str">
        <f>IF(OR(ISBLANK(E89),E89="Other"),"",VLOOKUP(E89,Management!$A$11:$B$25,2,0))</f>
        <v/>
      </c>
      <c r="G89" s="463"/>
      <c r="H89" s="486"/>
      <c r="I89" s="485"/>
      <c r="J89" s="487" t="str">
        <f>IF(ISBLANK(A89),"",IF(OR(ISBLANK(C89),ISBLANK(D89),ISBLANK(G89),ISBLANK(H89),ISBLANK(I89)),"Missing data",H89*VLOOKUP(I89,Ceilings!$J$4:$K$5,2,0)))</f>
        <v/>
      </c>
    </row>
    <row r="90" spans="1:10">
      <c r="A90" s="506"/>
      <c r="B90" s="21" t="str">
        <f>IF(ISBLANK(A90),"",VLOOKUP(A90,Management!$A$11:$C$25,2,0))</f>
        <v/>
      </c>
      <c r="C90" s="483"/>
      <c r="D90" s="462"/>
      <c r="E90" s="484"/>
      <c r="F90" s="485" t="str">
        <f>IF(OR(ISBLANK(E90),E90="Other"),"",VLOOKUP(E90,Management!$A$11:$B$25,2,0))</f>
        <v/>
      </c>
      <c r="G90" s="463"/>
      <c r="H90" s="486"/>
      <c r="I90" s="485"/>
      <c r="J90" s="487" t="str">
        <f>IF(ISBLANK(A90),"",IF(OR(ISBLANK(C90),ISBLANK(D90),ISBLANK(G90),ISBLANK(H90),ISBLANK(I90)),"Missing data",H90*VLOOKUP(I90,Ceilings!$J$4:$K$5,2,0)))</f>
        <v/>
      </c>
    </row>
    <row r="91" spans="1:10">
      <c r="A91" s="506"/>
      <c r="B91" s="21" t="str">
        <f>IF(ISBLANK(A91),"",VLOOKUP(A91,Management!$A$11:$C$25,2,0))</f>
        <v/>
      </c>
      <c r="C91" s="483"/>
      <c r="D91" s="462"/>
      <c r="E91" s="484"/>
      <c r="F91" s="485" t="str">
        <f>IF(OR(ISBLANK(E91),E91="Other"),"",VLOOKUP(E91,Management!$A$11:$B$25,2,0))</f>
        <v/>
      </c>
      <c r="G91" s="463"/>
      <c r="H91" s="486"/>
      <c r="I91" s="485"/>
      <c r="J91" s="487" t="str">
        <f>IF(ISBLANK(A91),"",IF(OR(ISBLANK(C91),ISBLANK(D91),ISBLANK(G91),ISBLANK(H91),ISBLANK(I91)),"Missing data",H91*VLOOKUP(I91,Ceilings!$J$4:$K$5,2,0)))</f>
        <v/>
      </c>
    </row>
    <row r="92" spans="1:10">
      <c r="A92" s="506"/>
      <c r="B92" s="21" t="str">
        <f>IF(ISBLANK(A92),"",VLOOKUP(A92,Management!$A$11:$C$25,2,0))</f>
        <v/>
      </c>
      <c r="C92" s="483"/>
      <c r="D92" s="462"/>
      <c r="E92" s="484"/>
      <c r="F92" s="485" t="str">
        <f>IF(OR(ISBLANK(E92),E92="Other"),"",VLOOKUP(E92,Management!$A$11:$B$25,2,0))</f>
        <v/>
      </c>
      <c r="G92" s="463"/>
      <c r="H92" s="486"/>
      <c r="I92" s="485"/>
      <c r="J92" s="487" t="str">
        <f>IF(ISBLANK(A92),"",IF(OR(ISBLANK(C92),ISBLANK(D92),ISBLANK(G92),ISBLANK(H92),ISBLANK(I92)),"Missing data",H92*VLOOKUP(I92,Ceilings!$J$4:$K$5,2,0)))</f>
        <v/>
      </c>
    </row>
    <row r="93" spans="1:10">
      <c r="A93" s="506"/>
      <c r="B93" s="21" t="str">
        <f>IF(ISBLANK(A93),"",VLOOKUP(A93,Management!$A$11:$C$25,2,0))</f>
        <v/>
      </c>
      <c r="C93" s="483"/>
      <c r="D93" s="462"/>
      <c r="E93" s="484"/>
      <c r="F93" s="485" t="str">
        <f>IF(OR(ISBLANK(E93),E93="Other"),"",VLOOKUP(E93,Management!$A$11:$B$25,2,0))</f>
        <v/>
      </c>
      <c r="G93" s="463"/>
      <c r="H93" s="486"/>
      <c r="I93" s="485"/>
      <c r="J93" s="487" t="str">
        <f>IF(ISBLANK(A93),"",IF(OR(ISBLANK(C93),ISBLANK(D93),ISBLANK(G93),ISBLANK(H93),ISBLANK(I93)),"Missing data",H93*VLOOKUP(I93,Ceilings!$J$4:$K$5,2,0)))</f>
        <v/>
      </c>
    </row>
    <row r="94" spans="1:10">
      <c r="A94" s="506"/>
      <c r="B94" s="21" t="str">
        <f>IF(ISBLANK(A94),"",VLOOKUP(A94,Management!$A$11:$C$25,2,0))</f>
        <v/>
      </c>
      <c r="C94" s="483"/>
      <c r="D94" s="462"/>
      <c r="E94" s="484"/>
      <c r="F94" s="485" t="str">
        <f>IF(OR(ISBLANK(E94),E94="Other"),"",VLOOKUP(E94,Management!$A$11:$B$25,2,0))</f>
        <v/>
      </c>
      <c r="G94" s="463"/>
      <c r="H94" s="486"/>
      <c r="I94" s="485"/>
      <c r="J94" s="487" t="str">
        <f>IF(ISBLANK(A94),"",IF(OR(ISBLANK(C94),ISBLANK(D94),ISBLANK(G94),ISBLANK(H94),ISBLANK(I94)),"Missing data",H94*VLOOKUP(I94,Ceilings!$J$4:$K$5,2,0)))</f>
        <v/>
      </c>
    </row>
    <row r="95" spans="1:10">
      <c r="A95" s="506"/>
      <c r="B95" s="21" t="str">
        <f>IF(ISBLANK(A95),"",VLOOKUP(A95,Management!$A$11:$C$25,2,0))</f>
        <v/>
      </c>
      <c r="C95" s="483"/>
      <c r="D95" s="462"/>
      <c r="E95" s="484"/>
      <c r="F95" s="485" t="str">
        <f>IF(OR(ISBLANK(E95),E95="Other"),"",VLOOKUP(E95,Management!$A$11:$B$25,2,0))</f>
        <v/>
      </c>
      <c r="G95" s="463"/>
      <c r="H95" s="486"/>
      <c r="I95" s="485"/>
      <c r="J95" s="487" t="str">
        <f>IF(ISBLANK(A95),"",IF(OR(ISBLANK(C95),ISBLANK(D95),ISBLANK(G95),ISBLANK(H95),ISBLANK(I95)),"Missing data",H95*VLOOKUP(I95,Ceilings!$J$4:$K$5,2,0)))</f>
        <v/>
      </c>
    </row>
    <row r="96" spans="1:10">
      <c r="A96" s="506"/>
      <c r="B96" s="21" t="str">
        <f>IF(ISBLANK(A96),"",VLOOKUP(A96,Management!$A$11:$C$25,2,0))</f>
        <v/>
      </c>
      <c r="C96" s="483"/>
      <c r="D96" s="462"/>
      <c r="E96" s="484"/>
      <c r="F96" s="485" t="str">
        <f>IF(OR(ISBLANK(E96),E96="Other"),"",VLOOKUP(E96,Management!$A$11:$B$25,2,0))</f>
        <v/>
      </c>
      <c r="G96" s="463"/>
      <c r="H96" s="486"/>
      <c r="I96" s="485"/>
      <c r="J96" s="487" t="str">
        <f>IF(ISBLANK(A96),"",IF(OR(ISBLANK(C96),ISBLANK(D96),ISBLANK(G96),ISBLANK(H96),ISBLANK(I96)),"Missing data",H96*VLOOKUP(I96,Ceilings!$J$4:$K$5,2,0)))</f>
        <v/>
      </c>
    </row>
    <row r="97" spans="1:10">
      <c r="A97" s="506"/>
      <c r="B97" s="21" t="str">
        <f>IF(ISBLANK(A97),"",VLOOKUP(A97,Management!$A$11:$C$25,2,0))</f>
        <v/>
      </c>
      <c r="C97" s="483"/>
      <c r="D97" s="462"/>
      <c r="E97" s="484"/>
      <c r="F97" s="485" t="str">
        <f>IF(OR(ISBLANK(E97),E97="Other"),"",VLOOKUP(E97,Management!$A$11:$B$25,2,0))</f>
        <v/>
      </c>
      <c r="G97" s="463"/>
      <c r="H97" s="486"/>
      <c r="I97" s="485"/>
      <c r="J97" s="487" t="str">
        <f>IF(ISBLANK(A97),"",IF(OR(ISBLANK(C97),ISBLANK(D97),ISBLANK(G97),ISBLANK(H97),ISBLANK(I97)),"Missing data",H97*VLOOKUP(I97,Ceilings!$J$4:$K$5,2,0)))</f>
        <v/>
      </c>
    </row>
    <row r="98" spans="1:10">
      <c r="A98" s="506"/>
      <c r="B98" s="21" t="str">
        <f>IF(ISBLANK(A98),"",VLOOKUP(A98,Management!$A$11:$C$25,2,0))</f>
        <v/>
      </c>
      <c r="C98" s="483"/>
      <c r="D98" s="462"/>
      <c r="E98" s="484"/>
      <c r="F98" s="485" t="str">
        <f>IF(OR(ISBLANK(E98),E98="Other"),"",VLOOKUP(E98,Management!$A$11:$B$25,2,0))</f>
        <v/>
      </c>
      <c r="G98" s="463"/>
      <c r="H98" s="486"/>
      <c r="I98" s="485"/>
      <c r="J98" s="487" t="str">
        <f>IF(ISBLANK(A98),"",IF(OR(ISBLANK(C98),ISBLANK(D98),ISBLANK(G98),ISBLANK(H98),ISBLANK(I98)),"Missing data",H98*VLOOKUP(I98,Ceilings!$J$4:$K$5,2,0)))</f>
        <v/>
      </c>
    </row>
    <row r="99" spans="1:10">
      <c r="A99" s="506"/>
      <c r="B99" s="21" t="str">
        <f>IF(ISBLANK(A99),"",VLOOKUP(A99,Management!$A$11:$C$25,2,0))</f>
        <v/>
      </c>
      <c r="C99" s="483"/>
      <c r="D99" s="462"/>
      <c r="E99" s="484"/>
      <c r="F99" s="485" t="str">
        <f>IF(OR(ISBLANK(E99),E99="Other"),"",VLOOKUP(E99,Management!$A$11:$B$25,2,0))</f>
        <v/>
      </c>
      <c r="G99" s="463"/>
      <c r="H99" s="486"/>
      <c r="I99" s="485"/>
      <c r="J99" s="487" t="str">
        <f>IF(ISBLANK(A99),"",IF(OR(ISBLANK(C99),ISBLANK(D99),ISBLANK(G99),ISBLANK(H99),ISBLANK(I99)),"Missing data",H99*VLOOKUP(I99,Ceilings!$J$4:$K$5,2,0)))</f>
        <v/>
      </c>
    </row>
    <row r="100" spans="1:10">
      <c r="A100" s="506"/>
      <c r="B100" s="21" t="str">
        <f>IF(ISBLANK(A100),"",VLOOKUP(A100,Management!$A$11:$C$25,2,0))</f>
        <v/>
      </c>
      <c r="C100" s="483"/>
      <c r="D100" s="462"/>
      <c r="E100" s="484"/>
      <c r="F100" s="485" t="str">
        <f>IF(OR(ISBLANK(E100),E100="Other"),"",VLOOKUP(E100,Management!$A$11:$B$25,2,0))</f>
        <v/>
      </c>
      <c r="G100" s="463"/>
      <c r="H100" s="486"/>
      <c r="I100" s="485"/>
      <c r="J100" s="487" t="str">
        <f>IF(ISBLANK(A100),"",IF(OR(ISBLANK(C100),ISBLANK(D100),ISBLANK(G100),ISBLANK(H100),ISBLANK(I100)),"Missing data",H100*VLOOKUP(I100,Ceilings!$J$4:$K$5,2,0)))</f>
        <v/>
      </c>
    </row>
    <row r="101" spans="1:10">
      <c r="A101" s="506"/>
      <c r="B101" s="21" t="str">
        <f>IF(ISBLANK(A101),"",VLOOKUP(A101,Management!$A$11:$C$25,2,0))</f>
        <v/>
      </c>
      <c r="C101" s="483"/>
      <c r="D101" s="462"/>
      <c r="E101" s="484"/>
      <c r="F101" s="485" t="str">
        <f>IF(OR(ISBLANK(E101),E101="Other"),"",VLOOKUP(E101,Management!$A$11:$B$25,2,0))</f>
        <v/>
      </c>
      <c r="G101" s="463"/>
      <c r="H101" s="486"/>
      <c r="I101" s="485"/>
      <c r="J101" s="487" t="str">
        <f>IF(ISBLANK(A101),"",IF(OR(ISBLANK(C101),ISBLANK(D101),ISBLANK(G101),ISBLANK(H101),ISBLANK(I101)),"Missing data",H101*VLOOKUP(I101,Ceilings!$J$4:$K$5,2,0)))</f>
        <v/>
      </c>
    </row>
    <row r="102" spans="1:10">
      <c r="A102" s="506"/>
      <c r="B102" s="21" t="str">
        <f>IF(ISBLANK(A102),"",VLOOKUP(A102,Management!$A$11:$C$25,2,0))</f>
        <v/>
      </c>
      <c r="C102" s="483"/>
      <c r="D102" s="462"/>
      <c r="E102" s="484"/>
      <c r="F102" s="485" t="str">
        <f>IF(OR(ISBLANK(E102),E102="Other"),"",VLOOKUP(E102,Management!$A$11:$B$25,2,0))</f>
        <v/>
      </c>
      <c r="G102" s="463"/>
      <c r="H102" s="486"/>
      <c r="I102" s="485"/>
      <c r="J102" s="487" t="str">
        <f>IF(ISBLANK(A102),"",IF(OR(ISBLANK(C102),ISBLANK(D102),ISBLANK(G102),ISBLANK(H102),ISBLANK(I102)),"Missing data",H102*VLOOKUP(I102,Ceilings!$J$4:$K$5,2,0)))</f>
        <v/>
      </c>
    </row>
    <row r="103" spans="1:10">
      <c r="A103" s="506"/>
      <c r="B103" s="21" t="str">
        <f>IF(ISBLANK(A103),"",VLOOKUP(A103,Management!$A$11:$C$25,2,0))</f>
        <v/>
      </c>
      <c r="C103" s="483"/>
      <c r="D103" s="462"/>
      <c r="E103" s="484"/>
      <c r="F103" s="485" t="str">
        <f>IF(OR(ISBLANK(E103),E103="Other"),"",VLOOKUP(E103,Management!$A$11:$B$25,2,0))</f>
        <v/>
      </c>
      <c r="G103" s="463"/>
      <c r="H103" s="486"/>
      <c r="I103" s="485"/>
      <c r="J103" s="487" t="str">
        <f>IF(ISBLANK(A103),"",IF(OR(ISBLANK(C103),ISBLANK(D103),ISBLANK(G103),ISBLANK(H103),ISBLANK(I103)),"Missing data",H103*VLOOKUP(I103,Ceilings!$J$4:$K$5,2,0)))</f>
        <v/>
      </c>
    </row>
    <row r="104" spans="1:10">
      <c r="A104" s="506"/>
      <c r="B104" s="21" t="str">
        <f>IF(ISBLANK(A104),"",VLOOKUP(A104,Management!$A$11:$C$25,2,0))</f>
        <v/>
      </c>
      <c r="C104" s="483"/>
      <c r="D104" s="462"/>
      <c r="E104" s="484"/>
      <c r="F104" s="485" t="str">
        <f>IF(OR(ISBLANK(E104),E104="Other"),"",VLOOKUP(E104,Management!$A$11:$B$25,2,0))</f>
        <v/>
      </c>
      <c r="G104" s="463"/>
      <c r="H104" s="486"/>
      <c r="I104" s="485"/>
      <c r="J104" s="487" t="str">
        <f>IF(ISBLANK(A104),"",IF(OR(ISBLANK(C104),ISBLANK(D104),ISBLANK(G104),ISBLANK(H104),ISBLANK(I104)),"Missing data",H104*VLOOKUP(I104,Ceilings!$J$4:$K$5,2,0)))</f>
        <v/>
      </c>
    </row>
    <row r="105" spans="1:10">
      <c r="A105" s="506"/>
      <c r="B105" s="21" t="str">
        <f>IF(ISBLANK(A105),"",VLOOKUP(A105,Management!$A$11:$C$25,2,0))</f>
        <v/>
      </c>
      <c r="C105" s="483"/>
      <c r="D105" s="462"/>
      <c r="E105" s="484"/>
      <c r="F105" s="485" t="str">
        <f>IF(OR(ISBLANK(E105),E105="Other"),"",VLOOKUP(E105,Management!$A$11:$B$25,2,0))</f>
        <v/>
      </c>
      <c r="G105" s="463"/>
      <c r="H105" s="486"/>
      <c r="I105" s="485"/>
      <c r="J105" s="487" t="str">
        <f>IF(ISBLANK(A105),"",IF(OR(ISBLANK(C105),ISBLANK(D105),ISBLANK(G105),ISBLANK(H105),ISBLANK(I105)),"Missing data",H105*VLOOKUP(I105,Ceilings!$J$4:$K$5,2,0)))</f>
        <v/>
      </c>
    </row>
    <row r="106" spans="1:10">
      <c r="A106" s="506"/>
      <c r="B106" s="21" t="str">
        <f>IF(ISBLANK(A106),"",VLOOKUP(A106,Management!$A$11:$C$25,2,0))</f>
        <v/>
      </c>
      <c r="C106" s="483"/>
      <c r="D106" s="462"/>
      <c r="E106" s="484"/>
      <c r="F106" s="485" t="str">
        <f>IF(OR(ISBLANK(E106),E106="Other"),"",VLOOKUP(E106,Management!$A$11:$B$25,2,0))</f>
        <v/>
      </c>
      <c r="G106" s="463"/>
      <c r="H106" s="486"/>
      <c r="I106" s="485"/>
      <c r="J106" s="487" t="str">
        <f>IF(ISBLANK(A106),"",IF(OR(ISBLANK(C106),ISBLANK(D106),ISBLANK(G106),ISBLANK(H106),ISBLANK(I106)),"Missing data",H106*VLOOKUP(I106,Ceilings!$J$4:$K$5,2,0)))</f>
        <v/>
      </c>
    </row>
    <row r="107" spans="1:10">
      <c r="A107" s="506"/>
      <c r="B107" s="21" t="str">
        <f>IF(ISBLANK(A107),"",VLOOKUP(A107,Management!$A$11:$C$25,2,0))</f>
        <v/>
      </c>
      <c r="C107" s="483"/>
      <c r="D107" s="462"/>
      <c r="E107" s="484"/>
      <c r="F107" s="485" t="str">
        <f>IF(OR(ISBLANK(E107),E107="Other"),"",VLOOKUP(E107,Management!$A$11:$B$25,2,0))</f>
        <v/>
      </c>
      <c r="G107" s="463"/>
      <c r="H107" s="486"/>
      <c r="I107" s="485"/>
      <c r="J107" s="487" t="str">
        <f>IF(ISBLANK(A107),"",IF(OR(ISBLANK(C107),ISBLANK(D107),ISBLANK(G107),ISBLANK(H107),ISBLANK(I107)),"Missing data",H107*VLOOKUP(I107,Ceilings!$J$4:$K$5,2,0)))</f>
        <v/>
      </c>
    </row>
    <row r="108" spans="1:10" ht="13.5" thickBot="1">
      <c r="A108" s="507"/>
      <c r="B108" s="22" t="str">
        <f>IF(ISBLANK(A108),"",VLOOKUP(A108,Management!$A$11:$C$25,2,0))</f>
        <v/>
      </c>
      <c r="C108" s="489"/>
      <c r="D108" s="466"/>
      <c r="E108" s="490"/>
      <c r="F108" s="491" t="str">
        <f>IF(OR(ISBLANK(E108),E108="Other"),"",VLOOKUP(E108,Management!$A$11:$B$25,2,0))</f>
        <v/>
      </c>
      <c r="G108" s="467"/>
      <c r="H108" s="492"/>
      <c r="I108" s="491"/>
      <c r="J108" s="493" t="str">
        <f>IF(ISBLANK(A108),"",IF(OR(ISBLANK(C108),ISBLANK(D108),ISBLANK(G108),ISBLANK(H108),ISBLANK(I108)),"Missing data",H108*VLOOKUP(I108,Ceilings!$J$4:$K$5,2,0)))</f>
        <v/>
      </c>
    </row>
    <row r="110" spans="1:10">
      <c r="A110" s="23"/>
      <c r="E110" s="23"/>
    </row>
  </sheetData>
  <sheetProtection password="B516" sheet="1" sort="0" autoFilter="0"/>
  <mergeCells count="9">
    <mergeCell ref="A4:A5"/>
    <mergeCell ref="D4:D5"/>
    <mergeCell ref="C4:C5"/>
    <mergeCell ref="E4:F4"/>
    <mergeCell ref="J4:J5"/>
    <mergeCell ref="I4:I5"/>
    <mergeCell ref="H4:H5"/>
    <mergeCell ref="B4:B5"/>
    <mergeCell ref="G4:G5"/>
  </mergeCells>
  <phoneticPr fontId="7" type="noConversion"/>
  <conditionalFormatting sqref="J6">
    <cfRule type="expression" dxfId="31" priority="1" stopIfTrue="1">
      <formula>K6&lt;&gt;""</formula>
    </cfRule>
  </conditionalFormatting>
  <dataValidations count="4">
    <dataValidation type="date" allowBlank="1" showInputMessage="1" showErrorMessage="1" error="Out of project time frame" sqref="G7:G108">
      <formula1>Start</formula1>
      <formula2>End</formula2>
    </dataValidation>
    <dataValidation type="list" allowBlank="1" showInputMessage="1" showErrorMessage="1" sqref="A7:A108">
      <formula1>Partners</formula1>
    </dataValidation>
    <dataValidation type="list" allowBlank="1" showInputMessage="1" showErrorMessage="1" sqref="E7:E108">
      <formula1>Partners1</formula1>
    </dataValidation>
    <dataValidation type="list" allowBlank="1" showInputMessage="1" showErrorMessage="1" sqref="F7:F108">
      <formula1>IF(E7="Other",EUint,Semmi)</formula1>
    </dataValidation>
  </dataValidations>
  <printOptions horizontalCentered="1"/>
  <pageMargins left="0.35433070866141736" right="0.35729166666666667" top="0.59055118110236227" bottom="0.59055118110236227" header="0.31496062992125984" footer="0.31496062992125984"/>
  <pageSetup paperSize="9" scale="76" fitToHeight="0" orientation="landscape" horizontalDpi="4294967292" verticalDpi="4294967292" r:id="rId1"/>
  <headerFooter>
    <oddHeader>&amp;C&amp;11 2020 - C2  E+ KA226 - HED&amp;RVersion: 2020.09.08. - TKA</oddHeader>
    <oddFooter>&amp;C&amp;"Arial,Félkövér"&amp;A&amp;R&amp;P. oldal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Ceilings!$J$4:$J$5</xm:f>
          </x14:formula1>
          <xm:sqref>I7:I108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Q111"/>
  <sheetViews>
    <sheetView zoomScale="95" zoomScaleNormal="95" zoomScaleSheetLayoutView="70" workbookViewId="0">
      <selection activeCell="A9" sqref="A9"/>
    </sheetView>
  </sheetViews>
  <sheetFormatPr defaultColWidth="8.85546875" defaultRowHeight="12.75"/>
  <cols>
    <col min="1" max="1" width="32.28515625" style="53" customWidth="1"/>
    <col min="2" max="2" width="15.28515625" style="54" customWidth="1"/>
    <col min="3" max="3" width="27.7109375" style="54" customWidth="1"/>
    <col min="4" max="4" width="9.85546875" style="54" customWidth="1"/>
    <col min="5" max="5" width="10.28515625" style="54" customWidth="1"/>
    <col min="6" max="6" width="11.85546875" style="54" customWidth="1"/>
    <col min="7" max="7" width="8.140625" style="54" bestFit="1" customWidth="1"/>
    <col min="8" max="8" width="10.140625" style="54" customWidth="1"/>
    <col min="9" max="9" width="11.42578125" style="54" customWidth="1"/>
    <col min="10" max="10" width="8.140625" style="54" customWidth="1"/>
    <col min="11" max="11" width="10.7109375" style="54" customWidth="1"/>
    <col min="12" max="12" width="10.140625" style="54" customWidth="1"/>
    <col min="13" max="13" width="7.85546875" style="54" customWidth="1"/>
    <col min="14" max="14" width="10.42578125" style="54" customWidth="1"/>
    <col min="15" max="15" width="11.85546875" style="54" customWidth="1"/>
    <col min="16" max="16" width="8.28515625" style="54" customWidth="1"/>
    <col min="17" max="17" width="10.42578125" style="54" customWidth="1"/>
    <col min="18" max="25" width="15.85546875" style="54" customWidth="1"/>
    <col min="26" max="16384" width="8.85546875" style="54"/>
  </cols>
  <sheetData>
    <row r="1" spans="1:17" s="228" customFormat="1" ht="15.75">
      <c r="A1" s="142" t="s">
        <v>100</v>
      </c>
      <c r="B1" s="143"/>
      <c r="C1" s="143"/>
      <c r="D1" s="227"/>
      <c r="E1" s="227"/>
      <c r="F1" s="227"/>
      <c r="G1" s="227"/>
      <c r="H1" s="227"/>
      <c r="I1" s="227"/>
      <c r="J1" s="227"/>
      <c r="K1" s="227"/>
      <c r="L1" s="227"/>
      <c r="M1" s="227"/>
      <c r="N1" s="227"/>
      <c r="O1" s="227"/>
      <c r="P1" s="227"/>
      <c r="Q1" s="227"/>
    </row>
    <row r="2" spans="1:17" s="228" customFormat="1" ht="16.5" thickBot="1">
      <c r="A2" s="144" t="s">
        <v>0</v>
      </c>
      <c r="B2" s="145"/>
      <c r="C2" s="145"/>
      <c r="D2" s="227"/>
      <c r="E2" s="227"/>
      <c r="F2" s="126"/>
      <c r="G2" s="127"/>
      <c r="H2" s="127"/>
      <c r="I2" s="127"/>
      <c r="J2" s="127"/>
      <c r="K2" s="127"/>
      <c r="L2" s="127"/>
      <c r="M2" s="127"/>
      <c r="N2" s="127"/>
      <c r="O2" s="127"/>
      <c r="P2" s="127"/>
      <c r="Q2" s="127"/>
    </row>
    <row r="3" spans="1:17" s="263" customFormat="1" ht="13.5" thickBot="1">
      <c r="A3" s="261" t="s">
        <v>1</v>
      </c>
      <c r="B3" s="262"/>
      <c r="C3" s="262"/>
      <c r="D3" s="229"/>
      <c r="E3" s="229"/>
      <c r="F3" s="577" t="s">
        <v>36</v>
      </c>
      <c r="G3" s="578"/>
      <c r="H3" s="578"/>
      <c r="I3" s="578"/>
      <c r="J3" s="578"/>
      <c r="K3" s="578"/>
      <c r="L3" s="578"/>
      <c r="M3" s="578"/>
      <c r="N3" s="578"/>
      <c r="O3" s="578"/>
      <c r="P3" s="578"/>
      <c r="Q3" s="579"/>
    </row>
    <row r="4" spans="1:17" s="62" customFormat="1" ht="24.75" customHeight="1">
      <c r="A4" s="583" t="s">
        <v>445</v>
      </c>
      <c r="B4" s="585" t="s">
        <v>32</v>
      </c>
      <c r="C4" s="587" t="s">
        <v>387</v>
      </c>
      <c r="D4" s="583" t="s">
        <v>37</v>
      </c>
      <c r="E4" s="583" t="s">
        <v>136</v>
      </c>
      <c r="F4" s="580" t="s">
        <v>34</v>
      </c>
      <c r="G4" s="581"/>
      <c r="H4" s="581"/>
      <c r="I4" s="581" t="s">
        <v>420</v>
      </c>
      <c r="J4" s="581"/>
      <c r="K4" s="581"/>
      <c r="L4" s="581" t="s">
        <v>3</v>
      </c>
      <c r="M4" s="581"/>
      <c r="N4" s="581"/>
      <c r="O4" s="581" t="s">
        <v>4</v>
      </c>
      <c r="P4" s="581"/>
      <c r="Q4" s="582"/>
    </row>
    <row r="5" spans="1:17" s="62" customFormat="1" ht="39" thickBot="1">
      <c r="A5" s="584"/>
      <c r="B5" s="586"/>
      <c r="C5" s="588"/>
      <c r="D5" s="584"/>
      <c r="E5" s="584"/>
      <c r="F5" s="230" t="s">
        <v>118</v>
      </c>
      <c r="G5" s="231" t="s">
        <v>33</v>
      </c>
      <c r="H5" s="232" t="s">
        <v>101</v>
      </c>
      <c r="I5" s="232" t="s">
        <v>118</v>
      </c>
      <c r="J5" s="231" t="s">
        <v>33</v>
      </c>
      <c r="K5" s="232" t="s">
        <v>101</v>
      </c>
      <c r="L5" s="232" t="s">
        <v>118</v>
      </c>
      <c r="M5" s="231" t="s">
        <v>33</v>
      </c>
      <c r="N5" s="232" t="s">
        <v>101</v>
      </c>
      <c r="O5" s="232" t="s">
        <v>118</v>
      </c>
      <c r="P5" s="231" t="s">
        <v>33</v>
      </c>
      <c r="Q5" s="233" t="s">
        <v>101</v>
      </c>
    </row>
    <row r="6" spans="1:17">
      <c r="A6" s="234"/>
      <c r="B6" s="235"/>
      <c r="C6" s="236" t="s">
        <v>315</v>
      </c>
      <c r="D6" s="174">
        <f>SUM(D8:D109)</f>
        <v>0</v>
      </c>
      <c r="E6" s="237"/>
      <c r="F6" s="181">
        <f>SUM(F8:F109)</f>
        <v>0</v>
      </c>
      <c r="G6" s="238"/>
      <c r="H6" s="238"/>
      <c r="I6" s="239">
        <f>SUM(I8:I109)</f>
        <v>0</v>
      </c>
      <c r="J6" s="238"/>
      <c r="K6" s="238"/>
      <c r="L6" s="239">
        <f>SUM(L8:L109)</f>
        <v>0</v>
      </c>
      <c r="M6" s="238"/>
      <c r="N6" s="238"/>
      <c r="O6" s="239">
        <f>SUM(O8:O109)</f>
        <v>0</v>
      </c>
      <c r="P6" s="238"/>
      <c r="Q6" s="240"/>
    </row>
    <row r="7" spans="1:17" s="250" customFormat="1" ht="13.5" thickBot="1">
      <c r="A7" s="241"/>
      <c r="B7" s="242"/>
      <c r="C7" s="243" t="s">
        <v>316</v>
      </c>
      <c r="D7" s="244"/>
      <c r="E7" s="245">
        <f>SUM(E8:E109)</f>
        <v>0</v>
      </c>
      <c r="F7" s="246"/>
      <c r="G7" s="247"/>
      <c r="H7" s="248">
        <f>SUM(H8:H81)</f>
        <v>0</v>
      </c>
      <c r="I7" s="247"/>
      <c r="J7" s="247"/>
      <c r="K7" s="248">
        <f>SUM(K8:K81)</f>
        <v>0</v>
      </c>
      <c r="L7" s="247"/>
      <c r="M7" s="247"/>
      <c r="N7" s="248">
        <f>SUM(N8:N81)</f>
        <v>0</v>
      </c>
      <c r="O7" s="247"/>
      <c r="P7" s="247"/>
      <c r="Q7" s="249">
        <f>SUM(Q8:Q81)</f>
        <v>0</v>
      </c>
    </row>
    <row r="8" spans="1:17">
      <c r="A8" s="505"/>
      <c r="B8" s="251" t="str">
        <f>IF(ISBLANK(A8),"",VLOOKUP(A8,Management!$A$11:$C$25,2,0))</f>
        <v/>
      </c>
      <c r="C8" s="470"/>
      <c r="D8" s="174" t="str">
        <f>IF(ISBLANK(A8),"",SUM(F8,I8,L8,O8))</f>
        <v/>
      </c>
      <c r="E8" s="252" t="str">
        <f>IF(ISBLANK(A8),"",IF(ISBLANK(C8),"Missing data",SUM(H8,K8,N8,Q8)))</f>
        <v/>
      </c>
      <c r="F8" s="471"/>
      <c r="G8" s="239" t="str">
        <f>IF(ISBLANK(A8),"",VLOOKUP(B8,Ceilings!$A$4:$F$203,3,0))</f>
        <v/>
      </c>
      <c r="H8" s="239" t="str">
        <f>IF(ISBLANK($A8),"",F8*G8)</f>
        <v/>
      </c>
      <c r="I8" s="472"/>
      <c r="J8" s="239" t="str">
        <f>IF(ISBLANK(A8),"",VLOOKUP(B8,Ceilings!$A$4:$F$203,4,0))</f>
        <v/>
      </c>
      <c r="K8" s="239" t="str">
        <f>IF(ISBLANK($A8),"",I8*J8)</f>
        <v/>
      </c>
      <c r="L8" s="472"/>
      <c r="M8" s="239" t="str">
        <f>IF(ISBLANK(A8),"",VLOOKUP(B8,Ceilings!$A$4:$F$203,5,0))</f>
        <v/>
      </c>
      <c r="N8" s="239" t="str">
        <f>IF(ISBLANK($A8),"",L8*M8)</f>
        <v/>
      </c>
      <c r="O8" s="472"/>
      <c r="P8" s="253" t="str">
        <f>IF(ISBLANK(A8),"",VLOOKUP(B8,Ceilings!$A$4:$F$203,6,0))</f>
        <v/>
      </c>
      <c r="Q8" s="254" t="str">
        <f>IF(ISBLANK($A8),"",O8*P8)</f>
        <v/>
      </c>
    </row>
    <row r="9" spans="1:17">
      <c r="A9" s="506"/>
      <c r="B9" s="255" t="str">
        <f>IF(ISBLANK(A9),"",VLOOKUP(A9,Management!$A$11:$C$25,2,0))</f>
        <v/>
      </c>
      <c r="C9" s="473"/>
      <c r="D9" s="465" t="str">
        <f t="shared" ref="D9:D72" si="0">IF(ISBLANK(A9),"",SUM(F9,I9,L9,O9))</f>
        <v/>
      </c>
      <c r="E9" s="256" t="str">
        <f t="shared" ref="E9:E72" si="1">IF(ISBLANK(A9),"",IF(ISBLANK(C9),"Missing data",SUM(H9,K9,N9,Q9)))</f>
        <v/>
      </c>
      <c r="F9" s="474"/>
      <c r="G9" s="257" t="str">
        <f>IF(ISBLANK(A9),"",VLOOKUP(B9,Ceilings!$A$4:$F$203,3,0))</f>
        <v/>
      </c>
      <c r="H9" s="257" t="str">
        <f t="shared" ref="H9:H72" si="2">IF(ISBLANK($A9),"",F9*G9)</f>
        <v/>
      </c>
      <c r="I9" s="475"/>
      <c r="J9" s="257" t="str">
        <f>IF(ISBLANK(A9),"",VLOOKUP(B9,Ceilings!$A$4:$F$203,4,0))</f>
        <v/>
      </c>
      <c r="K9" s="257" t="str">
        <f t="shared" ref="K9:K72" si="3">IF(ISBLANK($A9),"",I9*J9)</f>
        <v/>
      </c>
      <c r="L9" s="475"/>
      <c r="M9" s="257" t="str">
        <f>IF(ISBLANK(A9),"",VLOOKUP(B9,Ceilings!$A$4:$F$203,5,0))</f>
        <v/>
      </c>
      <c r="N9" s="257" t="str">
        <f t="shared" ref="N9:N72" si="4">IF(ISBLANK($A9),"",L9*M9)</f>
        <v/>
      </c>
      <c r="O9" s="475"/>
      <c r="P9" s="257" t="str">
        <f>IF(ISBLANK(A9),"",VLOOKUP(B9,Ceilings!$A$4:$F$203,6,0))</f>
        <v/>
      </c>
      <c r="Q9" s="183" t="str">
        <f t="shared" ref="Q9:Q72" si="5">IF(ISBLANK($A9),"",O9*P9)</f>
        <v/>
      </c>
    </row>
    <row r="10" spans="1:17">
      <c r="A10" s="506"/>
      <c r="B10" s="255" t="str">
        <f>IF(ISBLANK(A10),"",VLOOKUP(A10,Management!$A$11:$C$25,2,0))</f>
        <v/>
      </c>
      <c r="C10" s="473"/>
      <c r="D10" s="465" t="str">
        <f t="shared" si="0"/>
        <v/>
      </c>
      <c r="E10" s="256" t="str">
        <f t="shared" si="1"/>
        <v/>
      </c>
      <c r="F10" s="474"/>
      <c r="G10" s="257" t="str">
        <f>IF(ISBLANK(A10),"",VLOOKUP(B10,Ceilings!$A$4:$F$203,3,0))</f>
        <v/>
      </c>
      <c r="H10" s="257" t="str">
        <f t="shared" si="2"/>
        <v/>
      </c>
      <c r="I10" s="475"/>
      <c r="J10" s="257" t="str">
        <f>IF(ISBLANK(A10),"",VLOOKUP(B10,Ceilings!$A$4:$F$203,4,0))</f>
        <v/>
      </c>
      <c r="K10" s="257" t="str">
        <f t="shared" si="3"/>
        <v/>
      </c>
      <c r="L10" s="475"/>
      <c r="M10" s="257" t="str">
        <f>IF(ISBLANK(A10),"",VLOOKUP(B10,Ceilings!$A$4:$F$203,5,0))</f>
        <v/>
      </c>
      <c r="N10" s="257" t="str">
        <f t="shared" si="4"/>
        <v/>
      </c>
      <c r="O10" s="475"/>
      <c r="P10" s="257" t="str">
        <f>IF(ISBLANK(A10),"",VLOOKUP(B10,Ceilings!$A$4:$F$203,6,0))</f>
        <v/>
      </c>
      <c r="Q10" s="183" t="str">
        <f t="shared" si="5"/>
        <v/>
      </c>
    </row>
    <row r="11" spans="1:17">
      <c r="A11" s="506"/>
      <c r="B11" s="255" t="str">
        <f>IF(ISBLANK(A11),"",VLOOKUP(A11,Management!$A$11:$C$25,2,0))</f>
        <v/>
      </c>
      <c r="C11" s="473"/>
      <c r="D11" s="465" t="str">
        <f t="shared" si="0"/>
        <v/>
      </c>
      <c r="E11" s="256" t="str">
        <f t="shared" si="1"/>
        <v/>
      </c>
      <c r="F11" s="474"/>
      <c r="G11" s="257" t="str">
        <f>IF(ISBLANK(A11),"",VLOOKUP(B11,Ceilings!$A$4:$F$203,3,0))</f>
        <v/>
      </c>
      <c r="H11" s="257" t="str">
        <f t="shared" si="2"/>
        <v/>
      </c>
      <c r="I11" s="475"/>
      <c r="J11" s="257" t="str">
        <f>IF(ISBLANK(A11),"",VLOOKUP(B11,Ceilings!$A$4:$F$203,4,0))</f>
        <v/>
      </c>
      <c r="K11" s="257" t="str">
        <f t="shared" si="3"/>
        <v/>
      </c>
      <c r="L11" s="475"/>
      <c r="M11" s="257" t="str">
        <f>IF(ISBLANK(A11),"",VLOOKUP(B11,Ceilings!$A$4:$F$203,5,0))</f>
        <v/>
      </c>
      <c r="N11" s="257" t="str">
        <f t="shared" si="4"/>
        <v/>
      </c>
      <c r="O11" s="475"/>
      <c r="P11" s="257" t="str">
        <f>IF(ISBLANK(A11),"",VLOOKUP(B11,Ceilings!$A$4:$F$203,6,0))</f>
        <v/>
      </c>
      <c r="Q11" s="183" t="str">
        <f t="shared" si="5"/>
        <v/>
      </c>
    </row>
    <row r="12" spans="1:17">
      <c r="A12" s="506"/>
      <c r="B12" s="255" t="str">
        <f>IF(ISBLANK(A12),"",VLOOKUP(A12,Management!$A$11:$C$25,2,0))</f>
        <v/>
      </c>
      <c r="C12" s="476"/>
      <c r="D12" s="465" t="str">
        <f t="shared" si="0"/>
        <v/>
      </c>
      <c r="E12" s="256" t="str">
        <f t="shared" si="1"/>
        <v/>
      </c>
      <c r="F12" s="474"/>
      <c r="G12" s="257" t="str">
        <f>IF(ISBLANK(A12),"",VLOOKUP(B12,Ceilings!$A$4:$F$203,3,0))</f>
        <v/>
      </c>
      <c r="H12" s="257" t="str">
        <f t="shared" si="2"/>
        <v/>
      </c>
      <c r="I12" s="475"/>
      <c r="J12" s="257" t="str">
        <f>IF(ISBLANK(A12),"",VLOOKUP(B12,Ceilings!$A$4:$F$203,4,0))</f>
        <v/>
      </c>
      <c r="K12" s="257" t="str">
        <f t="shared" si="3"/>
        <v/>
      </c>
      <c r="L12" s="475"/>
      <c r="M12" s="257" t="str">
        <f>IF(ISBLANK(A12),"",VLOOKUP(B12,Ceilings!$A$4:$F$203,5,0))</f>
        <v/>
      </c>
      <c r="N12" s="257" t="str">
        <f t="shared" si="4"/>
        <v/>
      </c>
      <c r="O12" s="475"/>
      <c r="P12" s="257" t="str">
        <f>IF(ISBLANK(A12),"",VLOOKUP(B12,Ceilings!$A$4:$F$203,6,0))</f>
        <v/>
      </c>
      <c r="Q12" s="183" t="str">
        <f t="shared" si="5"/>
        <v/>
      </c>
    </row>
    <row r="13" spans="1:17">
      <c r="A13" s="506"/>
      <c r="B13" s="255" t="str">
        <f>IF(ISBLANK(A13),"",VLOOKUP(A13,Management!$A$11:$C$25,2,0))</f>
        <v/>
      </c>
      <c r="C13" s="473"/>
      <c r="D13" s="465" t="str">
        <f t="shared" si="0"/>
        <v/>
      </c>
      <c r="E13" s="256" t="str">
        <f t="shared" si="1"/>
        <v/>
      </c>
      <c r="F13" s="474"/>
      <c r="G13" s="257" t="str">
        <f>IF(ISBLANK(A13),"",VLOOKUP(B13,Ceilings!$A$4:$F$203,3,0))</f>
        <v/>
      </c>
      <c r="H13" s="257" t="str">
        <f t="shared" si="2"/>
        <v/>
      </c>
      <c r="I13" s="475"/>
      <c r="J13" s="257" t="str">
        <f>IF(ISBLANK(A13),"",VLOOKUP(B13,Ceilings!$A$4:$F$203,4,0))</f>
        <v/>
      </c>
      <c r="K13" s="257" t="str">
        <f t="shared" si="3"/>
        <v/>
      </c>
      <c r="L13" s="475"/>
      <c r="M13" s="257" t="str">
        <f>IF(ISBLANK(A13),"",VLOOKUP(B13,Ceilings!$A$4:$F$203,5,0))</f>
        <v/>
      </c>
      <c r="N13" s="257" t="str">
        <f t="shared" si="4"/>
        <v/>
      </c>
      <c r="O13" s="475"/>
      <c r="P13" s="257" t="str">
        <f>IF(ISBLANK(A13),"",VLOOKUP(B13,Ceilings!$A$4:$F$203,6,0))</f>
        <v/>
      </c>
      <c r="Q13" s="183" t="str">
        <f t="shared" si="5"/>
        <v/>
      </c>
    </row>
    <row r="14" spans="1:17">
      <c r="A14" s="506"/>
      <c r="B14" s="255" t="str">
        <f>IF(ISBLANK(A14),"",VLOOKUP(A14,Management!$A$11:$C$25,2,0))</f>
        <v/>
      </c>
      <c r="C14" s="473"/>
      <c r="D14" s="465" t="str">
        <f t="shared" si="0"/>
        <v/>
      </c>
      <c r="E14" s="256" t="str">
        <f t="shared" si="1"/>
        <v/>
      </c>
      <c r="F14" s="474"/>
      <c r="G14" s="257" t="str">
        <f>IF(ISBLANK(A14),"",VLOOKUP(B14,Ceilings!$A$4:$F$203,3,0))</f>
        <v/>
      </c>
      <c r="H14" s="257" t="str">
        <f t="shared" si="2"/>
        <v/>
      </c>
      <c r="I14" s="475"/>
      <c r="J14" s="257" t="str">
        <f>IF(ISBLANK(A14),"",VLOOKUP(B14,Ceilings!$A$4:$F$203,4,0))</f>
        <v/>
      </c>
      <c r="K14" s="257" t="str">
        <f t="shared" si="3"/>
        <v/>
      </c>
      <c r="L14" s="475"/>
      <c r="M14" s="257" t="str">
        <f>IF(ISBLANK(A14),"",VLOOKUP(B14,Ceilings!$A$4:$F$203,5,0))</f>
        <v/>
      </c>
      <c r="N14" s="257" t="str">
        <f t="shared" si="4"/>
        <v/>
      </c>
      <c r="O14" s="475"/>
      <c r="P14" s="257" t="str">
        <f>IF(ISBLANK(A14),"",VLOOKUP(B14,Ceilings!$A$4:$F$203,6,0))</f>
        <v/>
      </c>
      <c r="Q14" s="183" t="str">
        <f t="shared" si="5"/>
        <v/>
      </c>
    </row>
    <row r="15" spans="1:17">
      <c r="A15" s="506"/>
      <c r="B15" s="255" t="str">
        <f>IF(ISBLANK(A15),"",VLOOKUP(A15,Management!$A$11:$C$25,2,0))</f>
        <v/>
      </c>
      <c r="C15" s="473"/>
      <c r="D15" s="465" t="str">
        <f t="shared" si="0"/>
        <v/>
      </c>
      <c r="E15" s="256" t="str">
        <f t="shared" si="1"/>
        <v/>
      </c>
      <c r="F15" s="474"/>
      <c r="G15" s="257" t="str">
        <f>IF(ISBLANK(A15),"",VLOOKUP(B15,Ceilings!$A$4:$F$203,3,0))</f>
        <v/>
      </c>
      <c r="H15" s="257" t="str">
        <f t="shared" si="2"/>
        <v/>
      </c>
      <c r="I15" s="475"/>
      <c r="J15" s="257" t="str">
        <f>IF(ISBLANK(A15),"",VLOOKUP(B15,Ceilings!$A$4:$F$203,4,0))</f>
        <v/>
      </c>
      <c r="K15" s="257" t="str">
        <f t="shared" si="3"/>
        <v/>
      </c>
      <c r="L15" s="475"/>
      <c r="M15" s="257" t="str">
        <f>IF(ISBLANK(A15),"",VLOOKUP(B15,Ceilings!$A$4:$F$203,5,0))</f>
        <v/>
      </c>
      <c r="N15" s="257" t="str">
        <f t="shared" si="4"/>
        <v/>
      </c>
      <c r="O15" s="475"/>
      <c r="P15" s="257" t="str">
        <f>IF(ISBLANK(A15),"",VLOOKUP(B15,Ceilings!$A$4:$F$203,6,0))</f>
        <v/>
      </c>
      <c r="Q15" s="183" t="str">
        <f t="shared" si="5"/>
        <v/>
      </c>
    </row>
    <row r="16" spans="1:17">
      <c r="A16" s="506"/>
      <c r="B16" s="255" t="str">
        <f>IF(ISBLANK(A16),"",VLOOKUP(A16,Management!$A$11:$C$25,2,0))</f>
        <v/>
      </c>
      <c r="C16" s="476"/>
      <c r="D16" s="465" t="str">
        <f t="shared" si="0"/>
        <v/>
      </c>
      <c r="E16" s="256" t="str">
        <f t="shared" si="1"/>
        <v/>
      </c>
      <c r="F16" s="474"/>
      <c r="G16" s="257" t="str">
        <f>IF(ISBLANK(A16),"",VLOOKUP(B16,Ceilings!$A$4:$F$203,3,0))</f>
        <v/>
      </c>
      <c r="H16" s="257" t="str">
        <f t="shared" si="2"/>
        <v/>
      </c>
      <c r="I16" s="475"/>
      <c r="J16" s="257" t="str">
        <f>IF(ISBLANK(A16),"",VLOOKUP(B16,Ceilings!$A$4:$F$203,4,0))</f>
        <v/>
      </c>
      <c r="K16" s="257" t="str">
        <f t="shared" si="3"/>
        <v/>
      </c>
      <c r="L16" s="475"/>
      <c r="M16" s="257" t="str">
        <f>IF(ISBLANK(A16),"",VLOOKUP(B16,Ceilings!$A$4:$F$203,5,0))</f>
        <v/>
      </c>
      <c r="N16" s="257" t="str">
        <f t="shared" si="4"/>
        <v/>
      </c>
      <c r="O16" s="475"/>
      <c r="P16" s="257" t="str">
        <f>IF(ISBLANK(A16),"",VLOOKUP(B16,Ceilings!$A$4:$F$203,6,0))</f>
        <v/>
      </c>
      <c r="Q16" s="183" t="str">
        <f t="shared" si="5"/>
        <v/>
      </c>
    </row>
    <row r="17" spans="1:17">
      <c r="A17" s="506"/>
      <c r="B17" s="255" t="str">
        <f>IF(ISBLANK(A17),"",VLOOKUP(A17,Management!$A$11:$C$25,2,0))</f>
        <v/>
      </c>
      <c r="C17" s="473"/>
      <c r="D17" s="465" t="str">
        <f t="shared" si="0"/>
        <v/>
      </c>
      <c r="E17" s="256" t="str">
        <f t="shared" si="1"/>
        <v/>
      </c>
      <c r="F17" s="474"/>
      <c r="G17" s="257" t="str">
        <f>IF(ISBLANK(A17),"",VLOOKUP(B17,Ceilings!$A$4:$F$203,3,0))</f>
        <v/>
      </c>
      <c r="H17" s="257" t="str">
        <f t="shared" si="2"/>
        <v/>
      </c>
      <c r="I17" s="475"/>
      <c r="J17" s="257" t="str">
        <f>IF(ISBLANK(A17),"",VLOOKUP(B17,Ceilings!$A$4:$F$203,4,0))</f>
        <v/>
      </c>
      <c r="K17" s="257" t="str">
        <f t="shared" si="3"/>
        <v/>
      </c>
      <c r="L17" s="475"/>
      <c r="M17" s="257" t="str">
        <f>IF(ISBLANK(A17),"",VLOOKUP(B17,Ceilings!$A$4:$F$203,5,0))</f>
        <v/>
      </c>
      <c r="N17" s="257" t="str">
        <f t="shared" si="4"/>
        <v/>
      </c>
      <c r="O17" s="475"/>
      <c r="P17" s="257" t="str">
        <f>IF(ISBLANK(A17),"",VLOOKUP(B17,Ceilings!$A$4:$F$203,6,0))</f>
        <v/>
      </c>
      <c r="Q17" s="183" t="str">
        <f t="shared" si="5"/>
        <v/>
      </c>
    </row>
    <row r="18" spans="1:17">
      <c r="A18" s="506"/>
      <c r="B18" s="255" t="str">
        <f>IF(ISBLANK(A18),"",VLOOKUP(A18,Management!$A$11:$C$25,2,0))</f>
        <v/>
      </c>
      <c r="C18" s="473"/>
      <c r="D18" s="465" t="str">
        <f t="shared" si="0"/>
        <v/>
      </c>
      <c r="E18" s="256" t="str">
        <f t="shared" si="1"/>
        <v/>
      </c>
      <c r="F18" s="474"/>
      <c r="G18" s="257" t="str">
        <f>IF(ISBLANK(A18),"",VLOOKUP(B18,Ceilings!$A$4:$F$203,3,0))</f>
        <v/>
      </c>
      <c r="H18" s="257" t="str">
        <f t="shared" si="2"/>
        <v/>
      </c>
      <c r="I18" s="475"/>
      <c r="J18" s="257" t="str">
        <f>IF(ISBLANK(A18),"",VLOOKUP(B18,Ceilings!$A$4:$F$203,4,0))</f>
        <v/>
      </c>
      <c r="K18" s="257" t="str">
        <f t="shared" si="3"/>
        <v/>
      </c>
      <c r="L18" s="475"/>
      <c r="M18" s="257" t="str">
        <f>IF(ISBLANK(A18),"",VLOOKUP(B18,Ceilings!$A$4:$F$203,5,0))</f>
        <v/>
      </c>
      <c r="N18" s="257" t="str">
        <f t="shared" si="4"/>
        <v/>
      </c>
      <c r="O18" s="475"/>
      <c r="P18" s="257" t="str">
        <f>IF(ISBLANK(A18),"",VLOOKUP(B18,Ceilings!$A$4:$F$203,6,0))</f>
        <v/>
      </c>
      <c r="Q18" s="183" t="str">
        <f t="shared" si="5"/>
        <v/>
      </c>
    </row>
    <row r="19" spans="1:17">
      <c r="A19" s="506"/>
      <c r="B19" s="255" t="str">
        <f>IF(ISBLANK(A19),"",VLOOKUP(A19,Management!$A$11:$C$25,2,0))</f>
        <v/>
      </c>
      <c r="C19" s="473"/>
      <c r="D19" s="465" t="str">
        <f t="shared" si="0"/>
        <v/>
      </c>
      <c r="E19" s="256" t="str">
        <f t="shared" si="1"/>
        <v/>
      </c>
      <c r="F19" s="474"/>
      <c r="G19" s="257" t="str">
        <f>IF(ISBLANK(A19),"",VLOOKUP(B19,Ceilings!$A$4:$F$203,3,0))</f>
        <v/>
      </c>
      <c r="H19" s="257" t="str">
        <f t="shared" si="2"/>
        <v/>
      </c>
      <c r="I19" s="475"/>
      <c r="J19" s="257" t="str">
        <f>IF(ISBLANK(A19),"",VLOOKUP(B19,Ceilings!$A$4:$F$203,4,0))</f>
        <v/>
      </c>
      <c r="K19" s="257" t="str">
        <f t="shared" si="3"/>
        <v/>
      </c>
      <c r="L19" s="475"/>
      <c r="M19" s="257" t="str">
        <f>IF(ISBLANK(A19),"",VLOOKUP(B19,Ceilings!$A$4:$F$203,5,0))</f>
        <v/>
      </c>
      <c r="N19" s="257" t="str">
        <f t="shared" si="4"/>
        <v/>
      </c>
      <c r="O19" s="475"/>
      <c r="P19" s="257" t="str">
        <f>IF(ISBLANK(A19),"",VLOOKUP(B19,Ceilings!$A$4:$F$203,6,0))</f>
        <v/>
      </c>
      <c r="Q19" s="183" t="str">
        <f t="shared" si="5"/>
        <v/>
      </c>
    </row>
    <row r="20" spans="1:17">
      <c r="A20" s="506"/>
      <c r="B20" s="255" t="str">
        <f>IF(ISBLANK(A20),"",VLOOKUP(A20,Management!$A$11:$C$25,2,0))</f>
        <v/>
      </c>
      <c r="C20" s="473"/>
      <c r="D20" s="465" t="str">
        <f t="shared" si="0"/>
        <v/>
      </c>
      <c r="E20" s="256" t="str">
        <f t="shared" si="1"/>
        <v/>
      </c>
      <c r="F20" s="474"/>
      <c r="G20" s="257" t="str">
        <f>IF(ISBLANK(A20),"",VLOOKUP(B20,Ceilings!$A$4:$F$203,3,0))</f>
        <v/>
      </c>
      <c r="H20" s="257" t="str">
        <f t="shared" si="2"/>
        <v/>
      </c>
      <c r="I20" s="475"/>
      <c r="J20" s="257" t="str">
        <f>IF(ISBLANK(A20),"",VLOOKUP(B20,Ceilings!$A$4:$F$203,4,0))</f>
        <v/>
      </c>
      <c r="K20" s="257" t="str">
        <f t="shared" si="3"/>
        <v/>
      </c>
      <c r="L20" s="475"/>
      <c r="M20" s="257" t="str">
        <f>IF(ISBLANK(A20),"",VLOOKUP(B20,Ceilings!$A$4:$F$203,5,0))</f>
        <v/>
      </c>
      <c r="N20" s="257" t="str">
        <f t="shared" si="4"/>
        <v/>
      </c>
      <c r="O20" s="475"/>
      <c r="P20" s="257" t="str">
        <f>IF(ISBLANK(A20),"",VLOOKUP(B20,Ceilings!$A$4:$F$203,6,0))</f>
        <v/>
      </c>
      <c r="Q20" s="183" t="str">
        <f t="shared" si="5"/>
        <v/>
      </c>
    </row>
    <row r="21" spans="1:17">
      <c r="A21" s="506"/>
      <c r="B21" s="255" t="str">
        <f>IF(ISBLANK(A21),"",VLOOKUP(A21,Management!$A$11:$C$25,2,0))</f>
        <v/>
      </c>
      <c r="C21" s="473"/>
      <c r="D21" s="465" t="str">
        <f t="shared" si="0"/>
        <v/>
      </c>
      <c r="E21" s="256" t="str">
        <f t="shared" si="1"/>
        <v/>
      </c>
      <c r="F21" s="474"/>
      <c r="G21" s="257" t="str">
        <f>IF(ISBLANK(A21),"",VLOOKUP(B21,Ceilings!$A$4:$F$203,3,0))</f>
        <v/>
      </c>
      <c r="H21" s="257" t="str">
        <f t="shared" si="2"/>
        <v/>
      </c>
      <c r="I21" s="475"/>
      <c r="J21" s="257" t="str">
        <f>IF(ISBLANK(A21),"",VLOOKUP(B21,Ceilings!$A$4:$F$203,4,0))</f>
        <v/>
      </c>
      <c r="K21" s="257" t="str">
        <f t="shared" si="3"/>
        <v/>
      </c>
      <c r="L21" s="475"/>
      <c r="M21" s="257" t="str">
        <f>IF(ISBLANK(A21),"",VLOOKUP(B21,Ceilings!$A$4:$F$203,5,0))</f>
        <v/>
      </c>
      <c r="N21" s="257" t="str">
        <f t="shared" si="4"/>
        <v/>
      </c>
      <c r="O21" s="475"/>
      <c r="P21" s="257" t="str">
        <f>IF(ISBLANK(A21),"",VLOOKUP(B21,Ceilings!$A$4:$F$203,6,0))</f>
        <v/>
      </c>
      <c r="Q21" s="183" t="str">
        <f t="shared" si="5"/>
        <v/>
      </c>
    </row>
    <row r="22" spans="1:17">
      <c r="A22" s="506"/>
      <c r="B22" s="255" t="str">
        <f>IF(ISBLANK(A22),"",VLOOKUP(A22,Management!$A$11:$C$25,2,0))</f>
        <v/>
      </c>
      <c r="C22" s="473"/>
      <c r="D22" s="465" t="str">
        <f t="shared" si="0"/>
        <v/>
      </c>
      <c r="E22" s="256" t="str">
        <f t="shared" si="1"/>
        <v/>
      </c>
      <c r="F22" s="474"/>
      <c r="G22" s="257" t="str">
        <f>IF(ISBLANK(A22),"",VLOOKUP(B22,Ceilings!$A$4:$F$203,3,0))</f>
        <v/>
      </c>
      <c r="H22" s="257" t="str">
        <f t="shared" si="2"/>
        <v/>
      </c>
      <c r="I22" s="475"/>
      <c r="J22" s="257" t="str">
        <f>IF(ISBLANK(A22),"",VLOOKUP(B22,Ceilings!$A$4:$F$203,4,0))</f>
        <v/>
      </c>
      <c r="K22" s="257" t="str">
        <f t="shared" si="3"/>
        <v/>
      </c>
      <c r="L22" s="475"/>
      <c r="M22" s="257" t="str">
        <f>IF(ISBLANK(A22),"",VLOOKUP(B22,Ceilings!$A$4:$F$203,5,0))</f>
        <v/>
      </c>
      <c r="N22" s="257" t="str">
        <f t="shared" si="4"/>
        <v/>
      </c>
      <c r="O22" s="475"/>
      <c r="P22" s="257" t="str">
        <f>IF(ISBLANK(A22),"",VLOOKUP(B22,Ceilings!$A$4:$F$203,6,0))</f>
        <v/>
      </c>
      <c r="Q22" s="183" t="str">
        <f t="shared" si="5"/>
        <v/>
      </c>
    </row>
    <row r="23" spans="1:17">
      <c r="A23" s="506"/>
      <c r="B23" s="255" t="str">
        <f>IF(ISBLANK(A23),"",VLOOKUP(A23,Management!$A$11:$C$25,2,0))</f>
        <v/>
      </c>
      <c r="C23" s="473"/>
      <c r="D23" s="465" t="str">
        <f t="shared" si="0"/>
        <v/>
      </c>
      <c r="E23" s="256" t="str">
        <f t="shared" si="1"/>
        <v/>
      </c>
      <c r="F23" s="474"/>
      <c r="G23" s="257" t="str">
        <f>IF(ISBLANK(A23),"",VLOOKUP(B23,Ceilings!$A$4:$F$203,3,0))</f>
        <v/>
      </c>
      <c r="H23" s="257" t="str">
        <f t="shared" si="2"/>
        <v/>
      </c>
      <c r="I23" s="475"/>
      <c r="J23" s="257" t="str">
        <f>IF(ISBLANK(A23),"",VLOOKUP(B23,Ceilings!$A$4:$F$203,4,0))</f>
        <v/>
      </c>
      <c r="K23" s="257" t="str">
        <f t="shared" si="3"/>
        <v/>
      </c>
      <c r="L23" s="475"/>
      <c r="M23" s="257" t="str">
        <f>IF(ISBLANK(A23),"",VLOOKUP(B23,Ceilings!$A$4:$F$203,5,0))</f>
        <v/>
      </c>
      <c r="N23" s="257" t="str">
        <f t="shared" si="4"/>
        <v/>
      </c>
      <c r="O23" s="475"/>
      <c r="P23" s="257" t="str">
        <f>IF(ISBLANK(A23),"",VLOOKUP(B23,Ceilings!$A$4:$F$203,6,0))</f>
        <v/>
      </c>
      <c r="Q23" s="183" t="str">
        <f t="shared" si="5"/>
        <v/>
      </c>
    </row>
    <row r="24" spans="1:17">
      <c r="A24" s="506"/>
      <c r="B24" s="255" t="str">
        <f>IF(ISBLANK(A24),"",VLOOKUP(A24,Management!$A$11:$C$25,2,0))</f>
        <v/>
      </c>
      <c r="C24" s="473"/>
      <c r="D24" s="465" t="str">
        <f t="shared" si="0"/>
        <v/>
      </c>
      <c r="E24" s="256" t="str">
        <f t="shared" si="1"/>
        <v/>
      </c>
      <c r="F24" s="474"/>
      <c r="G24" s="257" t="str">
        <f>IF(ISBLANK(A24),"",VLOOKUP(B24,Ceilings!$A$4:$F$203,3,0))</f>
        <v/>
      </c>
      <c r="H24" s="257" t="str">
        <f t="shared" si="2"/>
        <v/>
      </c>
      <c r="I24" s="475"/>
      <c r="J24" s="257" t="str">
        <f>IF(ISBLANK(A24),"",VLOOKUP(B24,Ceilings!$A$4:$F$203,4,0))</f>
        <v/>
      </c>
      <c r="K24" s="257" t="str">
        <f t="shared" si="3"/>
        <v/>
      </c>
      <c r="L24" s="475"/>
      <c r="M24" s="257" t="str">
        <f>IF(ISBLANK(A24),"",VLOOKUP(B24,Ceilings!$A$4:$F$203,5,0))</f>
        <v/>
      </c>
      <c r="N24" s="257" t="str">
        <f t="shared" si="4"/>
        <v/>
      </c>
      <c r="O24" s="475"/>
      <c r="P24" s="257" t="str">
        <f>IF(ISBLANK(A24),"",VLOOKUP(B24,Ceilings!$A$4:$F$203,6,0))</f>
        <v/>
      </c>
      <c r="Q24" s="183" t="str">
        <f t="shared" si="5"/>
        <v/>
      </c>
    </row>
    <row r="25" spans="1:17">
      <c r="A25" s="506"/>
      <c r="B25" s="255" t="str">
        <f>IF(ISBLANK(A25),"",VLOOKUP(A25,Management!$A$11:$C$25,2,0))</f>
        <v/>
      </c>
      <c r="C25" s="473"/>
      <c r="D25" s="465" t="str">
        <f t="shared" si="0"/>
        <v/>
      </c>
      <c r="E25" s="256" t="str">
        <f t="shared" si="1"/>
        <v/>
      </c>
      <c r="F25" s="474"/>
      <c r="G25" s="257" t="str">
        <f>IF(ISBLANK(A25),"",VLOOKUP(B25,Ceilings!$A$4:$F$203,3,0))</f>
        <v/>
      </c>
      <c r="H25" s="257" t="str">
        <f t="shared" si="2"/>
        <v/>
      </c>
      <c r="I25" s="475"/>
      <c r="J25" s="257" t="str">
        <f>IF(ISBLANK(A25),"",VLOOKUP(B25,Ceilings!$A$4:$F$203,4,0))</f>
        <v/>
      </c>
      <c r="K25" s="257" t="str">
        <f t="shared" si="3"/>
        <v/>
      </c>
      <c r="L25" s="475"/>
      <c r="M25" s="257" t="str">
        <f>IF(ISBLANK(A25),"",VLOOKUP(B25,Ceilings!$A$4:$F$203,5,0))</f>
        <v/>
      </c>
      <c r="N25" s="257" t="str">
        <f t="shared" si="4"/>
        <v/>
      </c>
      <c r="O25" s="475"/>
      <c r="P25" s="257" t="str">
        <f>IF(ISBLANK(A25),"",VLOOKUP(B25,Ceilings!$A$4:$F$203,6,0))</f>
        <v/>
      </c>
      <c r="Q25" s="183" t="str">
        <f t="shared" si="5"/>
        <v/>
      </c>
    </row>
    <row r="26" spans="1:17">
      <c r="A26" s="506"/>
      <c r="B26" s="255" t="str">
        <f>IF(ISBLANK(A26),"",VLOOKUP(A26,Management!$A$11:$C$25,2,0))</f>
        <v/>
      </c>
      <c r="C26" s="473"/>
      <c r="D26" s="465" t="str">
        <f t="shared" si="0"/>
        <v/>
      </c>
      <c r="E26" s="256" t="str">
        <f t="shared" si="1"/>
        <v/>
      </c>
      <c r="F26" s="474"/>
      <c r="G26" s="257" t="str">
        <f>IF(ISBLANK(A26),"",VLOOKUP(B26,Ceilings!$A$4:$F$203,3,0))</f>
        <v/>
      </c>
      <c r="H26" s="257" t="str">
        <f t="shared" si="2"/>
        <v/>
      </c>
      <c r="I26" s="475"/>
      <c r="J26" s="257" t="str">
        <f>IF(ISBLANK(A26),"",VLOOKUP(B26,Ceilings!$A$4:$F$203,4,0))</f>
        <v/>
      </c>
      <c r="K26" s="257" t="str">
        <f t="shared" si="3"/>
        <v/>
      </c>
      <c r="L26" s="475"/>
      <c r="M26" s="257" t="str">
        <f>IF(ISBLANK(A26),"",VLOOKUP(B26,Ceilings!$A$4:$F$203,5,0))</f>
        <v/>
      </c>
      <c r="N26" s="257" t="str">
        <f t="shared" si="4"/>
        <v/>
      </c>
      <c r="O26" s="475"/>
      <c r="P26" s="257" t="str">
        <f>IF(ISBLANK(A26),"",VLOOKUP(B26,Ceilings!$A$4:$F$203,6,0))</f>
        <v/>
      </c>
      <c r="Q26" s="183" t="str">
        <f t="shared" si="5"/>
        <v/>
      </c>
    </row>
    <row r="27" spans="1:17">
      <c r="A27" s="506"/>
      <c r="B27" s="255" t="str">
        <f>IF(ISBLANK(A27),"",VLOOKUP(A27,Management!$A$11:$C$25,2,0))</f>
        <v/>
      </c>
      <c r="C27" s="473"/>
      <c r="D27" s="465" t="str">
        <f t="shared" si="0"/>
        <v/>
      </c>
      <c r="E27" s="256" t="str">
        <f t="shared" si="1"/>
        <v/>
      </c>
      <c r="F27" s="474"/>
      <c r="G27" s="257" t="str">
        <f>IF(ISBLANK(A27),"",VLOOKUP(B27,Ceilings!$A$4:$F$203,3,0))</f>
        <v/>
      </c>
      <c r="H27" s="257" t="str">
        <f t="shared" si="2"/>
        <v/>
      </c>
      <c r="I27" s="475"/>
      <c r="J27" s="257" t="str">
        <f>IF(ISBLANK(A27),"",VLOOKUP(B27,Ceilings!$A$4:$F$203,4,0))</f>
        <v/>
      </c>
      <c r="K27" s="257" t="str">
        <f t="shared" si="3"/>
        <v/>
      </c>
      <c r="L27" s="475"/>
      <c r="M27" s="257" t="str">
        <f>IF(ISBLANK(A27),"",VLOOKUP(B27,Ceilings!$A$4:$F$203,5,0))</f>
        <v/>
      </c>
      <c r="N27" s="257" t="str">
        <f t="shared" si="4"/>
        <v/>
      </c>
      <c r="O27" s="475"/>
      <c r="P27" s="257" t="str">
        <f>IF(ISBLANK(A27),"",VLOOKUP(B27,Ceilings!$A$4:$F$203,6,0))</f>
        <v/>
      </c>
      <c r="Q27" s="183" t="str">
        <f t="shared" si="5"/>
        <v/>
      </c>
    </row>
    <row r="28" spans="1:17">
      <c r="A28" s="506"/>
      <c r="B28" s="255" t="str">
        <f>IF(ISBLANK(A28),"",VLOOKUP(A28,Management!$A$11:$C$25,2,0))</f>
        <v/>
      </c>
      <c r="C28" s="473"/>
      <c r="D28" s="465" t="str">
        <f t="shared" si="0"/>
        <v/>
      </c>
      <c r="E28" s="256" t="str">
        <f t="shared" si="1"/>
        <v/>
      </c>
      <c r="F28" s="474"/>
      <c r="G28" s="257" t="str">
        <f>IF(ISBLANK(A28),"",VLOOKUP(B28,Ceilings!$A$4:$F$203,3,0))</f>
        <v/>
      </c>
      <c r="H28" s="257" t="str">
        <f t="shared" si="2"/>
        <v/>
      </c>
      <c r="I28" s="475"/>
      <c r="J28" s="257" t="str">
        <f>IF(ISBLANK(A28),"",VLOOKUP(B28,Ceilings!$A$4:$F$203,4,0))</f>
        <v/>
      </c>
      <c r="K28" s="257" t="str">
        <f t="shared" si="3"/>
        <v/>
      </c>
      <c r="L28" s="475"/>
      <c r="M28" s="257" t="str">
        <f>IF(ISBLANK(A28),"",VLOOKUP(B28,Ceilings!$A$4:$F$203,5,0))</f>
        <v/>
      </c>
      <c r="N28" s="257" t="str">
        <f t="shared" si="4"/>
        <v/>
      </c>
      <c r="O28" s="475"/>
      <c r="P28" s="257" t="str">
        <f>IF(ISBLANK(A28),"",VLOOKUP(B28,Ceilings!$A$4:$F$203,6,0))</f>
        <v/>
      </c>
      <c r="Q28" s="183" t="str">
        <f t="shared" si="5"/>
        <v/>
      </c>
    </row>
    <row r="29" spans="1:17">
      <c r="A29" s="506"/>
      <c r="B29" s="255" t="str">
        <f>IF(ISBLANK(A29),"",VLOOKUP(A29,Management!$A$11:$C$25,2,0))</f>
        <v/>
      </c>
      <c r="C29" s="473"/>
      <c r="D29" s="465" t="str">
        <f t="shared" si="0"/>
        <v/>
      </c>
      <c r="E29" s="256" t="str">
        <f t="shared" si="1"/>
        <v/>
      </c>
      <c r="F29" s="474"/>
      <c r="G29" s="257" t="str">
        <f>IF(ISBLANK(A29),"",VLOOKUP(B29,Ceilings!$A$4:$F$203,3,0))</f>
        <v/>
      </c>
      <c r="H29" s="257" t="str">
        <f t="shared" si="2"/>
        <v/>
      </c>
      <c r="I29" s="475"/>
      <c r="J29" s="257" t="str">
        <f>IF(ISBLANK(A29),"",VLOOKUP(B29,Ceilings!$A$4:$F$203,4,0))</f>
        <v/>
      </c>
      <c r="K29" s="257" t="str">
        <f t="shared" si="3"/>
        <v/>
      </c>
      <c r="L29" s="475"/>
      <c r="M29" s="257" t="str">
        <f>IF(ISBLANK(A29),"",VLOOKUP(B29,Ceilings!$A$4:$F$203,5,0))</f>
        <v/>
      </c>
      <c r="N29" s="257" t="str">
        <f t="shared" si="4"/>
        <v/>
      </c>
      <c r="O29" s="475"/>
      <c r="P29" s="257" t="str">
        <f>IF(ISBLANK(A29),"",VLOOKUP(B29,Ceilings!$A$4:$F$203,6,0))</f>
        <v/>
      </c>
      <c r="Q29" s="183" t="str">
        <f t="shared" si="5"/>
        <v/>
      </c>
    </row>
    <row r="30" spans="1:17">
      <c r="A30" s="506"/>
      <c r="B30" s="255" t="str">
        <f>IF(ISBLANK(A30),"",VLOOKUP(A30,Management!$A$11:$C$25,2,0))</f>
        <v/>
      </c>
      <c r="C30" s="473"/>
      <c r="D30" s="465" t="str">
        <f t="shared" si="0"/>
        <v/>
      </c>
      <c r="E30" s="256" t="str">
        <f t="shared" si="1"/>
        <v/>
      </c>
      <c r="F30" s="474"/>
      <c r="G30" s="257" t="str">
        <f>IF(ISBLANK(A30),"",VLOOKUP(B30,Ceilings!$A$4:$F$203,3,0))</f>
        <v/>
      </c>
      <c r="H30" s="257" t="str">
        <f t="shared" si="2"/>
        <v/>
      </c>
      <c r="I30" s="475"/>
      <c r="J30" s="257" t="str">
        <f>IF(ISBLANK(A30),"",VLOOKUP(B30,Ceilings!$A$4:$F$203,4,0))</f>
        <v/>
      </c>
      <c r="K30" s="257" t="str">
        <f t="shared" si="3"/>
        <v/>
      </c>
      <c r="L30" s="475"/>
      <c r="M30" s="257" t="str">
        <f>IF(ISBLANK(A30),"",VLOOKUP(B30,Ceilings!$A$4:$F$203,5,0))</f>
        <v/>
      </c>
      <c r="N30" s="257" t="str">
        <f t="shared" si="4"/>
        <v/>
      </c>
      <c r="O30" s="475"/>
      <c r="P30" s="257" t="str">
        <f>IF(ISBLANK(A30),"",VLOOKUP(B30,Ceilings!$A$4:$F$203,6,0))</f>
        <v/>
      </c>
      <c r="Q30" s="183" t="str">
        <f t="shared" si="5"/>
        <v/>
      </c>
    </row>
    <row r="31" spans="1:17">
      <c r="A31" s="506"/>
      <c r="B31" s="255" t="str">
        <f>IF(ISBLANK(A31),"",VLOOKUP(A31,Management!$A$11:$C$25,2,0))</f>
        <v/>
      </c>
      <c r="C31" s="473"/>
      <c r="D31" s="465" t="str">
        <f t="shared" si="0"/>
        <v/>
      </c>
      <c r="E31" s="256" t="str">
        <f t="shared" si="1"/>
        <v/>
      </c>
      <c r="F31" s="474"/>
      <c r="G31" s="257" t="str">
        <f>IF(ISBLANK(A31),"",VLOOKUP(B31,Ceilings!$A$4:$F$203,3,0))</f>
        <v/>
      </c>
      <c r="H31" s="257" t="str">
        <f t="shared" si="2"/>
        <v/>
      </c>
      <c r="I31" s="475"/>
      <c r="J31" s="257" t="str">
        <f>IF(ISBLANK(A31),"",VLOOKUP(B31,Ceilings!$A$4:$F$203,4,0))</f>
        <v/>
      </c>
      <c r="K31" s="257" t="str">
        <f t="shared" si="3"/>
        <v/>
      </c>
      <c r="L31" s="475"/>
      <c r="M31" s="257" t="str">
        <f>IF(ISBLANK(A31),"",VLOOKUP(B31,Ceilings!$A$4:$F$203,5,0))</f>
        <v/>
      </c>
      <c r="N31" s="257" t="str">
        <f t="shared" si="4"/>
        <v/>
      </c>
      <c r="O31" s="475"/>
      <c r="P31" s="257" t="str">
        <f>IF(ISBLANK(A31),"",VLOOKUP(B31,Ceilings!$A$4:$F$203,6,0))</f>
        <v/>
      </c>
      <c r="Q31" s="183" t="str">
        <f t="shared" si="5"/>
        <v/>
      </c>
    </row>
    <row r="32" spans="1:17">
      <c r="A32" s="506"/>
      <c r="B32" s="255" t="str">
        <f>IF(ISBLANK(A32),"",VLOOKUP(A32,Management!$A$11:$C$25,2,0))</f>
        <v/>
      </c>
      <c r="C32" s="473"/>
      <c r="D32" s="465" t="str">
        <f t="shared" si="0"/>
        <v/>
      </c>
      <c r="E32" s="256" t="str">
        <f t="shared" si="1"/>
        <v/>
      </c>
      <c r="F32" s="474"/>
      <c r="G32" s="257" t="str">
        <f>IF(ISBLANK(A32),"",VLOOKUP(B32,Ceilings!$A$4:$F$203,3,0))</f>
        <v/>
      </c>
      <c r="H32" s="257" t="str">
        <f t="shared" si="2"/>
        <v/>
      </c>
      <c r="I32" s="475"/>
      <c r="J32" s="257" t="str">
        <f>IF(ISBLANK(A32),"",VLOOKUP(B32,Ceilings!$A$4:$F$203,4,0))</f>
        <v/>
      </c>
      <c r="K32" s="257" t="str">
        <f t="shared" si="3"/>
        <v/>
      </c>
      <c r="L32" s="475"/>
      <c r="M32" s="257" t="str">
        <f>IF(ISBLANK(A32),"",VLOOKUP(B32,Ceilings!$A$4:$F$203,5,0))</f>
        <v/>
      </c>
      <c r="N32" s="257" t="str">
        <f t="shared" si="4"/>
        <v/>
      </c>
      <c r="O32" s="475"/>
      <c r="P32" s="257" t="str">
        <f>IF(ISBLANK(A32),"",VLOOKUP(B32,Ceilings!$A$4:$F$203,6,0))</f>
        <v/>
      </c>
      <c r="Q32" s="183" t="str">
        <f t="shared" si="5"/>
        <v/>
      </c>
    </row>
    <row r="33" spans="1:17">
      <c r="A33" s="506"/>
      <c r="B33" s="255" t="str">
        <f>IF(ISBLANK(A33),"",VLOOKUP(A33,Management!$A$11:$C$25,2,0))</f>
        <v/>
      </c>
      <c r="C33" s="473"/>
      <c r="D33" s="465" t="str">
        <f t="shared" si="0"/>
        <v/>
      </c>
      <c r="E33" s="256" t="str">
        <f t="shared" si="1"/>
        <v/>
      </c>
      <c r="F33" s="474"/>
      <c r="G33" s="257" t="str">
        <f>IF(ISBLANK(A33),"",VLOOKUP(B33,Ceilings!$A$4:$F$203,3,0))</f>
        <v/>
      </c>
      <c r="H33" s="257" t="str">
        <f t="shared" si="2"/>
        <v/>
      </c>
      <c r="I33" s="475"/>
      <c r="J33" s="257" t="str">
        <f>IF(ISBLANK(A33),"",VLOOKUP(B33,Ceilings!$A$4:$F$203,4,0))</f>
        <v/>
      </c>
      <c r="K33" s="257" t="str">
        <f t="shared" si="3"/>
        <v/>
      </c>
      <c r="L33" s="475"/>
      <c r="M33" s="257" t="str">
        <f>IF(ISBLANK(A33),"",VLOOKUP(B33,Ceilings!$A$4:$F$203,5,0))</f>
        <v/>
      </c>
      <c r="N33" s="257" t="str">
        <f t="shared" si="4"/>
        <v/>
      </c>
      <c r="O33" s="475"/>
      <c r="P33" s="257" t="str">
        <f>IF(ISBLANK(A33),"",VLOOKUP(B33,Ceilings!$A$4:$F$203,6,0))</f>
        <v/>
      </c>
      <c r="Q33" s="183" t="str">
        <f t="shared" si="5"/>
        <v/>
      </c>
    </row>
    <row r="34" spans="1:17">
      <c r="A34" s="506"/>
      <c r="B34" s="255" t="str">
        <f>IF(ISBLANK(A34),"",VLOOKUP(A34,Management!$A$11:$C$25,2,0))</f>
        <v/>
      </c>
      <c r="C34" s="473"/>
      <c r="D34" s="465" t="str">
        <f t="shared" si="0"/>
        <v/>
      </c>
      <c r="E34" s="256" t="str">
        <f t="shared" si="1"/>
        <v/>
      </c>
      <c r="F34" s="474"/>
      <c r="G34" s="257" t="str">
        <f>IF(ISBLANK(A34),"",VLOOKUP(B34,Ceilings!$A$4:$F$203,3,0))</f>
        <v/>
      </c>
      <c r="H34" s="257" t="str">
        <f t="shared" si="2"/>
        <v/>
      </c>
      <c r="I34" s="475"/>
      <c r="J34" s="257" t="str">
        <f>IF(ISBLANK(A34),"",VLOOKUP(B34,Ceilings!$A$4:$F$203,4,0))</f>
        <v/>
      </c>
      <c r="K34" s="257" t="str">
        <f t="shared" si="3"/>
        <v/>
      </c>
      <c r="L34" s="475"/>
      <c r="M34" s="257" t="str">
        <f>IF(ISBLANK(A34),"",VLOOKUP(B34,Ceilings!$A$4:$F$203,5,0))</f>
        <v/>
      </c>
      <c r="N34" s="257" t="str">
        <f t="shared" si="4"/>
        <v/>
      </c>
      <c r="O34" s="475"/>
      <c r="P34" s="257" t="str">
        <f>IF(ISBLANK(A34),"",VLOOKUP(B34,Ceilings!$A$4:$F$203,6,0))</f>
        <v/>
      </c>
      <c r="Q34" s="183" t="str">
        <f t="shared" si="5"/>
        <v/>
      </c>
    </row>
    <row r="35" spans="1:17">
      <c r="A35" s="506"/>
      <c r="B35" s="255" t="str">
        <f>IF(ISBLANK(A35),"",VLOOKUP(A35,Management!$A$11:$C$25,2,0))</f>
        <v/>
      </c>
      <c r="C35" s="473"/>
      <c r="D35" s="465" t="str">
        <f t="shared" si="0"/>
        <v/>
      </c>
      <c r="E35" s="256" t="str">
        <f t="shared" si="1"/>
        <v/>
      </c>
      <c r="F35" s="474"/>
      <c r="G35" s="257" t="str">
        <f>IF(ISBLANK(A35),"",VLOOKUP(B35,Ceilings!$A$4:$F$203,3,0))</f>
        <v/>
      </c>
      <c r="H35" s="257" t="str">
        <f t="shared" si="2"/>
        <v/>
      </c>
      <c r="I35" s="475"/>
      <c r="J35" s="257" t="str">
        <f>IF(ISBLANK(A35),"",VLOOKUP(B35,Ceilings!$A$4:$F$203,4,0))</f>
        <v/>
      </c>
      <c r="K35" s="257" t="str">
        <f t="shared" si="3"/>
        <v/>
      </c>
      <c r="L35" s="475"/>
      <c r="M35" s="257" t="str">
        <f>IF(ISBLANK(A35),"",VLOOKUP(B35,Ceilings!$A$4:$F$203,5,0))</f>
        <v/>
      </c>
      <c r="N35" s="257" t="str">
        <f t="shared" si="4"/>
        <v/>
      </c>
      <c r="O35" s="475"/>
      <c r="P35" s="257" t="str">
        <f>IF(ISBLANK(A35),"",VLOOKUP(B35,Ceilings!$A$4:$F$203,6,0))</f>
        <v/>
      </c>
      <c r="Q35" s="183" t="str">
        <f t="shared" si="5"/>
        <v/>
      </c>
    </row>
    <row r="36" spans="1:17">
      <c r="A36" s="506"/>
      <c r="B36" s="255" t="str">
        <f>IF(ISBLANK(A36),"",VLOOKUP(A36,Management!$A$11:$C$25,2,0))</f>
        <v/>
      </c>
      <c r="C36" s="473"/>
      <c r="D36" s="465" t="str">
        <f t="shared" si="0"/>
        <v/>
      </c>
      <c r="E36" s="256" t="str">
        <f t="shared" si="1"/>
        <v/>
      </c>
      <c r="F36" s="474"/>
      <c r="G36" s="257" t="str">
        <f>IF(ISBLANK(A36),"",VLOOKUP(B36,Ceilings!$A$4:$F$203,3,0))</f>
        <v/>
      </c>
      <c r="H36" s="257" t="str">
        <f t="shared" si="2"/>
        <v/>
      </c>
      <c r="I36" s="475"/>
      <c r="J36" s="257" t="str">
        <f>IF(ISBLANK(A36),"",VLOOKUP(B36,Ceilings!$A$4:$F$203,4,0))</f>
        <v/>
      </c>
      <c r="K36" s="257" t="str">
        <f t="shared" si="3"/>
        <v/>
      </c>
      <c r="L36" s="475"/>
      <c r="M36" s="257" t="str">
        <f>IF(ISBLANK(A36),"",VLOOKUP(B36,Ceilings!$A$4:$F$203,5,0))</f>
        <v/>
      </c>
      <c r="N36" s="257" t="str">
        <f t="shared" si="4"/>
        <v/>
      </c>
      <c r="O36" s="475"/>
      <c r="P36" s="257" t="str">
        <f>IF(ISBLANK(A36),"",VLOOKUP(B36,Ceilings!$A$4:$F$203,6,0))</f>
        <v/>
      </c>
      <c r="Q36" s="183" t="str">
        <f t="shared" si="5"/>
        <v/>
      </c>
    </row>
    <row r="37" spans="1:17">
      <c r="A37" s="506"/>
      <c r="B37" s="255" t="str">
        <f>IF(ISBLANK(A37),"",VLOOKUP(A37,Management!$A$11:$C$25,2,0))</f>
        <v/>
      </c>
      <c r="C37" s="473"/>
      <c r="D37" s="465" t="str">
        <f t="shared" si="0"/>
        <v/>
      </c>
      <c r="E37" s="256" t="str">
        <f t="shared" si="1"/>
        <v/>
      </c>
      <c r="F37" s="474"/>
      <c r="G37" s="257" t="str">
        <f>IF(ISBLANK(A37),"",VLOOKUP(B37,Ceilings!$A$4:$F$203,3,0))</f>
        <v/>
      </c>
      <c r="H37" s="257" t="str">
        <f t="shared" si="2"/>
        <v/>
      </c>
      <c r="I37" s="475"/>
      <c r="J37" s="257" t="str">
        <f>IF(ISBLANK(A37),"",VLOOKUP(B37,Ceilings!$A$4:$F$203,4,0))</f>
        <v/>
      </c>
      <c r="K37" s="257" t="str">
        <f t="shared" si="3"/>
        <v/>
      </c>
      <c r="L37" s="475"/>
      <c r="M37" s="257" t="str">
        <f>IF(ISBLANK(A37),"",VLOOKUP(B37,Ceilings!$A$4:$F$203,5,0))</f>
        <v/>
      </c>
      <c r="N37" s="257" t="str">
        <f t="shared" si="4"/>
        <v/>
      </c>
      <c r="O37" s="475"/>
      <c r="P37" s="257" t="str">
        <f>IF(ISBLANK(A37),"",VLOOKUP(B37,Ceilings!$A$4:$F$203,6,0))</f>
        <v/>
      </c>
      <c r="Q37" s="183" t="str">
        <f t="shared" si="5"/>
        <v/>
      </c>
    </row>
    <row r="38" spans="1:17">
      <c r="A38" s="506"/>
      <c r="B38" s="255" t="str">
        <f>IF(ISBLANK(A38),"",VLOOKUP(A38,Management!$A$11:$C$25,2,0))</f>
        <v/>
      </c>
      <c r="C38" s="473"/>
      <c r="D38" s="465" t="str">
        <f t="shared" si="0"/>
        <v/>
      </c>
      <c r="E38" s="256" t="str">
        <f t="shared" si="1"/>
        <v/>
      </c>
      <c r="F38" s="474"/>
      <c r="G38" s="257" t="str">
        <f>IF(ISBLANK(A38),"",VLOOKUP(B38,Ceilings!$A$4:$F$203,3,0))</f>
        <v/>
      </c>
      <c r="H38" s="257" t="str">
        <f t="shared" si="2"/>
        <v/>
      </c>
      <c r="I38" s="475"/>
      <c r="J38" s="257" t="str">
        <f>IF(ISBLANK(A38),"",VLOOKUP(B38,Ceilings!$A$4:$F$203,4,0))</f>
        <v/>
      </c>
      <c r="K38" s="257" t="str">
        <f t="shared" si="3"/>
        <v/>
      </c>
      <c r="L38" s="475"/>
      <c r="M38" s="257" t="str">
        <f>IF(ISBLANK(A38),"",VLOOKUP(B38,Ceilings!$A$4:$F$203,5,0))</f>
        <v/>
      </c>
      <c r="N38" s="257" t="str">
        <f t="shared" si="4"/>
        <v/>
      </c>
      <c r="O38" s="475"/>
      <c r="P38" s="257" t="str">
        <f>IF(ISBLANK(A38),"",VLOOKUP(B38,Ceilings!$A$4:$F$203,6,0))</f>
        <v/>
      </c>
      <c r="Q38" s="183" t="str">
        <f t="shared" si="5"/>
        <v/>
      </c>
    </row>
    <row r="39" spans="1:17">
      <c r="A39" s="506"/>
      <c r="B39" s="255" t="str">
        <f>IF(ISBLANK(A39),"",VLOOKUP(A39,Management!$A$11:$C$25,2,0))</f>
        <v/>
      </c>
      <c r="C39" s="473"/>
      <c r="D39" s="465" t="str">
        <f t="shared" si="0"/>
        <v/>
      </c>
      <c r="E39" s="256" t="str">
        <f t="shared" si="1"/>
        <v/>
      </c>
      <c r="F39" s="474"/>
      <c r="G39" s="257" t="str">
        <f>IF(ISBLANK(A39),"",VLOOKUP(B39,Ceilings!$A$4:$F$203,3,0))</f>
        <v/>
      </c>
      <c r="H39" s="257" t="str">
        <f t="shared" si="2"/>
        <v/>
      </c>
      <c r="I39" s="475"/>
      <c r="J39" s="257" t="str">
        <f>IF(ISBLANK(A39),"",VLOOKUP(B39,Ceilings!$A$4:$F$203,4,0))</f>
        <v/>
      </c>
      <c r="K39" s="257" t="str">
        <f t="shared" si="3"/>
        <v/>
      </c>
      <c r="L39" s="475"/>
      <c r="M39" s="257" t="str">
        <f>IF(ISBLANK(A39),"",VLOOKUP(B39,Ceilings!$A$4:$F$203,5,0))</f>
        <v/>
      </c>
      <c r="N39" s="257" t="str">
        <f t="shared" si="4"/>
        <v/>
      </c>
      <c r="O39" s="475"/>
      <c r="P39" s="257" t="str">
        <f>IF(ISBLANK(A39),"",VLOOKUP(B39,Ceilings!$A$4:$F$203,6,0))</f>
        <v/>
      </c>
      <c r="Q39" s="183" t="str">
        <f t="shared" si="5"/>
        <v/>
      </c>
    </row>
    <row r="40" spans="1:17">
      <c r="A40" s="506"/>
      <c r="B40" s="255" t="str">
        <f>IF(ISBLANK(A40),"",VLOOKUP(A40,Management!$A$11:$C$25,2,0))</f>
        <v/>
      </c>
      <c r="C40" s="473"/>
      <c r="D40" s="465" t="str">
        <f t="shared" si="0"/>
        <v/>
      </c>
      <c r="E40" s="256" t="str">
        <f t="shared" si="1"/>
        <v/>
      </c>
      <c r="F40" s="474"/>
      <c r="G40" s="257" t="str">
        <f>IF(ISBLANK(A40),"",VLOOKUP(B40,Ceilings!$A$4:$F$203,3,0))</f>
        <v/>
      </c>
      <c r="H40" s="257" t="str">
        <f t="shared" si="2"/>
        <v/>
      </c>
      <c r="I40" s="475"/>
      <c r="J40" s="257" t="str">
        <f>IF(ISBLANK(A40),"",VLOOKUP(B40,Ceilings!$A$4:$F$203,4,0))</f>
        <v/>
      </c>
      <c r="K40" s="257" t="str">
        <f t="shared" si="3"/>
        <v/>
      </c>
      <c r="L40" s="475"/>
      <c r="M40" s="257" t="str">
        <f>IF(ISBLANK(A40),"",VLOOKUP(B40,Ceilings!$A$4:$F$203,5,0))</f>
        <v/>
      </c>
      <c r="N40" s="257" t="str">
        <f t="shared" si="4"/>
        <v/>
      </c>
      <c r="O40" s="475"/>
      <c r="P40" s="257" t="str">
        <f>IF(ISBLANK(A40),"",VLOOKUP(B40,Ceilings!$A$4:$F$203,6,0))</f>
        <v/>
      </c>
      <c r="Q40" s="183" t="str">
        <f t="shared" si="5"/>
        <v/>
      </c>
    </row>
    <row r="41" spans="1:17">
      <c r="A41" s="506"/>
      <c r="B41" s="255" t="str">
        <f>IF(ISBLANK(A41),"",VLOOKUP(A41,Management!$A$11:$C$25,2,0))</f>
        <v/>
      </c>
      <c r="C41" s="473"/>
      <c r="D41" s="465" t="str">
        <f t="shared" si="0"/>
        <v/>
      </c>
      <c r="E41" s="256" t="str">
        <f t="shared" si="1"/>
        <v/>
      </c>
      <c r="F41" s="474"/>
      <c r="G41" s="257" t="str">
        <f>IF(ISBLANK(A41),"",VLOOKUP(B41,Ceilings!$A$4:$F$203,3,0))</f>
        <v/>
      </c>
      <c r="H41" s="257" t="str">
        <f t="shared" si="2"/>
        <v/>
      </c>
      <c r="I41" s="475"/>
      <c r="J41" s="257" t="str">
        <f>IF(ISBLANK(A41),"",VLOOKUP(B41,Ceilings!$A$4:$F$203,4,0))</f>
        <v/>
      </c>
      <c r="K41" s="257" t="str">
        <f t="shared" si="3"/>
        <v/>
      </c>
      <c r="L41" s="475"/>
      <c r="M41" s="257" t="str">
        <f>IF(ISBLANK(A41),"",VLOOKUP(B41,Ceilings!$A$4:$F$203,5,0))</f>
        <v/>
      </c>
      <c r="N41" s="257" t="str">
        <f t="shared" si="4"/>
        <v/>
      </c>
      <c r="O41" s="475"/>
      <c r="P41" s="257" t="str">
        <f>IF(ISBLANK(A41),"",VLOOKUP(B41,Ceilings!$A$4:$F$203,6,0))</f>
        <v/>
      </c>
      <c r="Q41" s="183" t="str">
        <f t="shared" si="5"/>
        <v/>
      </c>
    </row>
    <row r="42" spans="1:17">
      <c r="A42" s="506"/>
      <c r="B42" s="255" t="str">
        <f>IF(ISBLANK(A42),"",VLOOKUP(A42,Management!$A$11:$C$25,2,0))</f>
        <v/>
      </c>
      <c r="C42" s="473"/>
      <c r="D42" s="465" t="str">
        <f t="shared" si="0"/>
        <v/>
      </c>
      <c r="E42" s="256" t="str">
        <f t="shared" si="1"/>
        <v/>
      </c>
      <c r="F42" s="474"/>
      <c r="G42" s="257" t="str">
        <f>IF(ISBLANK(A42),"",VLOOKUP(B42,Ceilings!$A$4:$F$203,3,0))</f>
        <v/>
      </c>
      <c r="H42" s="257" t="str">
        <f t="shared" si="2"/>
        <v/>
      </c>
      <c r="I42" s="475"/>
      <c r="J42" s="257" t="str">
        <f>IF(ISBLANK(A42),"",VLOOKUP(B42,Ceilings!$A$4:$F$203,4,0))</f>
        <v/>
      </c>
      <c r="K42" s="257" t="str">
        <f t="shared" si="3"/>
        <v/>
      </c>
      <c r="L42" s="475"/>
      <c r="M42" s="257" t="str">
        <f>IF(ISBLANK(A42),"",VLOOKUP(B42,Ceilings!$A$4:$F$203,5,0))</f>
        <v/>
      </c>
      <c r="N42" s="257" t="str">
        <f t="shared" si="4"/>
        <v/>
      </c>
      <c r="O42" s="475"/>
      <c r="P42" s="257" t="str">
        <f>IF(ISBLANK(A42),"",VLOOKUP(B42,Ceilings!$A$4:$F$203,6,0))</f>
        <v/>
      </c>
      <c r="Q42" s="183" t="str">
        <f t="shared" si="5"/>
        <v/>
      </c>
    </row>
    <row r="43" spans="1:17">
      <c r="A43" s="506"/>
      <c r="B43" s="255" t="str">
        <f>IF(ISBLANK(A43),"",VLOOKUP(A43,Management!$A$11:$C$25,2,0))</f>
        <v/>
      </c>
      <c r="C43" s="473"/>
      <c r="D43" s="465" t="str">
        <f t="shared" si="0"/>
        <v/>
      </c>
      <c r="E43" s="256" t="str">
        <f t="shared" si="1"/>
        <v/>
      </c>
      <c r="F43" s="474"/>
      <c r="G43" s="257" t="str">
        <f>IF(ISBLANK(A43),"",VLOOKUP(B43,Ceilings!$A$4:$F$203,3,0))</f>
        <v/>
      </c>
      <c r="H43" s="257" t="str">
        <f t="shared" si="2"/>
        <v/>
      </c>
      <c r="I43" s="475"/>
      <c r="J43" s="257" t="str">
        <f>IF(ISBLANK(A43),"",VLOOKUP(B43,Ceilings!$A$4:$F$203,4,0))</f>
        <v/>
      </c>
      <c r="K43" s="257" t="str">
        <f t="shared" si="3"/>
        <v/>
      </c>
      <c r="L43" s="475"/>
      <c r="M43" s="257" t="str">
        <f>IF(ISBLANK(A43),"",VLOOKUP(B43,Ceilings!$A$4:$F$203,5,0))</f>
        <v/>
      </c>
      <c r="N43" s="257" t="str">
        <f t="shared" si="4"/>
        <v/>
      </c>
      <c r="O43" s="475"/>
      <c r="P43" s="257" t="str">
        <f>IF(ISBLANK(A43),"",VLOOKUP(B43,Ceilings!$A$4:$F$203,6,0))</f>
        <v/>
      </c>
      <c r="Q43" s="183" t="str">
        <f t="shared" si="5"/>
        <v/>
      </c>
    </row>
    <row r="44" spans="1:17">
      <c r="A44" s="506"/>
      <c r="B44" s="255" t="str">
        <f>IF(ISBLANK(A44),"",VLOOKUP(A44,Management!$A$11:$C$25,2,0))</f>
        <v/>
      </c>
      <c r="C44" s="473"/>
      <c r="D44" s="465" t="str">
        <f t="shared" si="0"/>
        <v/>
      </c>
      <c r="E44" s="256" t="str">
        <f t="shared" si="1"/>
        <v/>
      </c>
      <c r="F44" s="474"/>
      <c r="G44" s="257" t="str">
        <f>IF(ISBLANK(A44),"",VLOOKUP(B44,Ceilings!$A$4:$F$203,3,0))</f>
        <v/>
      </c>
      <c r="H44" s="257" t="str">
        <f t="shared" si="2"/>
        <v/>
      </c>
      <c r="I44" s="475"/>
      <c r="J44" s="257" t="str">
        <f>IF(ISBLANK(A44),"",VLOOKUP(B44,Ceilings!$A$4:$F$203,4,0))</f>
        <v/>
      </c>
      <c r="K44" s="257" t="str">
        <f t="shared" si="3"/>
        <v/>
      </c>
      <c r="L44" s="475"/>
      <c r="M44" s="257" t="str">
        <f>IF(ISBLANK(A44),"",VLOOKUP(B44,Ceilings!$A$4:$F$203,5,0))</f>
        <v/>
      </c>
      <c r="N44" s="257" t="str">
        <f t="shared" si="4"/>
        <v/>
      </c>
      <c r="O44" s="475"/>
      <c r="P44" s="257" t="str">
        <f>IF(ISBLANK(A44),"",VLOOKUP(B44,Ceilings!$A$4:$F$203,6,0))</f>
        <v/>
      </c>
      <c r="Q44" s="183" t="str">
        <f t="shared" si="5"/>
        <v/>
      </c>
    </row>
    <row r="45" spans="1:17">
      <c r="A45" s="506"/>
      <c r="B45" s="255" t="str">
        <f>IF(ISBLANK(A45),"",VLOOKUP(A45,Management!$A$11:$C$25,2,0))</f>
        <v/>
      </c>
      <c r="C45" s="473"/>
      <c r="D45" s="465" t="str">
        <f t="shared" si="0"/>
        <v/>
      </c>
      <c r="E45" s="256" t="str">
        <f t="shared" si="1"/>
        <v/>
      </c>
      <c r="F45" s="474"/>
      <c r="G45" s="257" t="str">
        <f>IF(ISBLANK(A45),"",VLOOKUP(B45,Ceilings!$A$4:$F$203,3,0))</f>
        <v/>
      </c>
      <c r="H45" s="257" t="str">
        <f t="shared" si="2"/>
        <v/>
      </c>
      <c r="I45" s="475"/>
      <c r="J45" s="257" t="str">
        <f>IF(ISBLANK(A45),"",VLOOKUP(B45,Ceilings!$A$4:$F$203,4,0))</f>
        <v/>
      </c>
      <c r="K45" s="257" t="str">
        <f t="shared" si="3"/>
        <v/>
      </c>
      <c r="L45" s="475"/>
      <c r="M45" s="257" t="str">
        <f>IF(ISBLANK(A45),"",VLOOKUP(B45,Ceilings!$A$4:$F$203,5,0))</f>
        <v/>
      </c>
      <c r="N45" s="257" t="str">
        <f t="shared" si="4"/>
        <v/>
      </c>
      <c r="O45" s="475"/>
      <c r="P45" s="257" t="str">
        <f>IF(ISBLANK(A45),"",VLOOKUP(B45,Ceilings!$A$4:$F$203,6,0))</f>
        <v/>
      </c>
      <c r="Q45" s="183" t="str">
        <f t="shared" si="5"/>
        <v/>
      </c>
    </row>
    <row r="46" spans="1:17">
      <c r="A46" s="506"/>
      <c r="B46" s="255" t="str">
        <f>IF(ISBLANK(A46),"",VLOOKUP(A46,Management!$A$11:$C$25,2,0))</f>
        <v/>
      </c>
      <c r="C46" s="473"/>
      <c r="D46" s="465" t="str">
        <f t="shared" si="0"/>
        <v/>
      </c>
      <c r="E46" s="256" t="str">
        <f t="shared" si="1"/>
        <v/>
      </c>
      <c r="F46" s="474"/>
      <c r="G46" s="257" t="str">
        <f>IF(ISBLANK(A46),"",VLOOKUP(B46,Ceilings!$A$4:$F$203,3,0))</f>
        <v/>
      </c>
      <c r="H46" s="257" t="str">
        <f t="shared" si="2"/>
        <v/>
      </c>
      <c r="I46" s="475"/>
      <c r="J46" s="257" t="str">
        <f>IF(ISBLANK(A46),"",VLOOKUP(B46,Ceilings!$A$4:$F$203,4,0))</f>
        <v/>
      </c>
      <c r="K46" s="257" t="str">
        <f t="shared" si="3"/>
        <v/>
      </c>
      <c r="L46" s="475"/>
      <c r="M46" s="257" t="str">
        <f>IF(ISBLANK(A46),"",VLOOKUP(B46,Ceilings!$A$4:$F$203,5,0))</f>
        <v/>
      </c>
      <c r="N46" s="257" t="str">
        <f t="shared" si="4"/>
        <v/>
      </c>
      <c r="O46" s="475"/>
      <c r="P46" s="257" t="str">
        <f>IF(ISBLANK(A46),"",VLOOKUP(B46,Ceilings!$A$4:$F$203,6,0))</f>
        <v/>
      </c>
      <c r="Q46" s="183" t="str">
        <f t="shared" si="5"/>
        <v/>
      </c>
    </row>
    <row r="47" spans="1:17">
      <c r="A47" s="506"/>
      <c r="B47" s="255" t="str">
        <f>IF(ISBLANK(A47),"",VLOOKUP(A47,Management!$A$11:$C$25,2,0))</f>
        <v/>
      </c>
      <c r="C47" s="473"/>
      <c r="D47" s="465" t="str">
        <f t="shared" si="0"/>
        <v/>
      </c>
      <c r="E47" s="256" t="str">
        <f t="shared" si="1"/>
        <v/>
      </c>
      <c r="F47" s="474"/>
      <c r="G47" s="257" t="str">
        <f>IF(ISBLANK(A47),"",VLOOKUP(B47,Ceilings!$A$4:$F$203,3,0))</f>
        <v/>
      </c>
      <c r="H47" s="257" t="str">
        <f t="shared" si="2"/>
        <v/>
      </c>
      <c r="I47" s="475"/>
      <c r="J47" s="257" t="str">
        <f>IF(ISBLANK(A47),"",VLOOKUP(B47,Ceilings!$A$4:$F$203,4,0))</f>
        <v/>
      </c>
      <c r="K47" s="257" t="str">
        <f t="shared" si="3"/>
        <v/>
      </c>
      <c r="L47" s="475"/>
      <c r="M47" s="257" t="str">
        <f>IF(ISBLANK(A47),"",VLOOKUP(B47,Ceilings!$A$4:$F$203,5,0))</f>
        <v/>
      </c>
      <c r="N47" s="257" t="str">
        <f t="shared" si="4"/>
        <v/>
      </c>
      <c r="O47" s="475"/>
      <c r="P47" s="257" t="str">
        <f>IF(ISBLANK(A47),"",VLOOKUP(B47,Ceilings!$A$4:$F$203,6,0))</f>
        <v/>
      </c>
      <c r="Q47" s="183" t="str">
        <f t="shared" si="5"/>
        <v/>
      </c>
    </row>
    <row r="48" spans="1:17">
      <c r="A48" s="506"/>
      <c r="B48" s="255" t="str">
        <f>IF(ISBLANK(A48),"",VLOOKUP(A48,Management!$A$11:$C$25,2,0))</f>
        <v/>
      </c>
      <c r="C48" s="473"/>
      <c r="D48" s="465" t="str">
        <f t="shared" si="0"/>
        <v/>
      </c>
      <c r="E48" s="256" t="str">
        <f t="shared" si="1"/>
        <v/>
      </c>
      <c r="F48" s="474"/>
      <c r="G48" s="257" t="str">
        <f>IF(ISBLANK(A48),"",VLOOKUP(B48,Ceilings!$A$4:$F$203,3,0))</f>
        <v/>
      </c>
      <c r="H48" s="257" t="str">
        <f t="shared" si="2"/>
        <v/>
      </c>
      <c r="I48" s="475"/>
      <c r="J48" s="257" t="str">
        <f>IF(ISBLANK(A48),"",VLOOKUP(B48,Ceilings!$A$4:$F$203,4,0))</f>
        <v/>
      </c>
      <c r="K48" s="257" t="str">
        <f t="shared" si="3"/>
        <v/>
      </c>
      <c r="L48" s="475"/>
      <c r="M48" s="257" t="str">
        <f>IF(ISBLANK(A48),"",VLOOKUP(B48,Ceilings!$A$4:$F$203,5,0))</f>
        <v/>
      </c>
      <c r="N48" s="257" t="str">
        <f t="shared" si="4"/>
        <v/>
      </c>
      <c r="O48" s="475"/>
      <c r="P48" s="257" t="str">
        <f>IF(ISBLANK(A48),"",VLOOKUP(B48,Ceilings!$A$4:$F$203,6,0))</f>
        <v/>
      </c>
      <c r="Q48" s="183" t="str">
        <f t="shared" si="5"/>
        <v/>
      </c>
    </row>
    <row r="49" spans="1:17">
      <c r="A49" s="506"/>
      <c r="B49" s="255" t="str">
        <f>IF(ISBLANK(A49),"",VLOOKUP(A49,Management!$A$11:$C$25,2,0))</f>
        <v/>
      </c>
      <c r="C49" s="473"/>
      <c r="D49" s="465" t="str">
        <f t="shared" si="0"/>
        <v/>
      </c>
      <c r="E49" s="256" t="str">
        <f t="shared" si="1"/>
        <v/>
      </c>
      <c r="F49" s="474"/>
      <c r="G49" s="257" t="str">
        <f>IF(ISBLANK(A49),"",VLOOKUP(B49,Ceilings!$A$4:$F$203,3,0))</f>
        <v/>
      </c>
      <c r="H49" s="257" t="str">
        <f t="shared" si="2"/>
        <v/>
      </c>
      <c r="I49" s="475"/>
      <c r="J49" s="257" t="str">
        <f>IF(ISBLANK(A49),"",VLOOKUP(B49,Ceilings!$A$4:$F$203,4,0))</f>
        <v/>
      </c>
      <c r="K49" s="257" t="str">
        <f t="shared" si="3"/>
        <v/>
      </c>
      <c r="L49" s="475"/>
      <c r="M49" s="257" t="str">
        <f>IF(ISBLANK(A49),"",VLOOKUP(B49,Ceilings!$A$4:$F$203,5,0))</f>
        <v/>
      </c>
      <c r="N49" s="257" t="str">
        <f t="shared" si="4"/>
        <v/>
      </c>
      <c r="O49" s="475"/>
      <c r="P49" s="257" t="str">
        <f>IF(ISBLANK(A49),"",VLOOKUP(B49,Ceilings!$A$4:$F$203,6,0))</f>
        <v/>
      </c>
      <c r="Q49" s="183" t="str">
        <f t="shared" si="5"/>
        <v/>
      </c>
    </row>
    <row r="50" spans="1:17">
      <c r="A50" s="506"/>
      <c r="B50" s="255" t="str">
        <f>IF(ISBLANK(A50),"",VLOOKUP(A50,Management!$A$11:$C$25,2,0))</f>
        <v/>
      </c>
      <c r="C50" s="473"/>
      <c r="D50" s="465" t="str">
        <f t="shared" si="0"/>
        <v/>
      </c>
      <c r="E50" s="256" t="str">
        <f t="shared" si="1"/>
        <v/>
      </c>
      <c r="F50" s="474"/>
      <c r="G50" s="257" t="str">
        <f>IF(ISBLANK(A50),"",VLOOKUP(B50,Ceilings!$A$4:$F$203,3,0))</f>
        <v/>
      </c>
      <c r="H50" s="257" t="str">
        <f t="shared" si="2"/>
        <v/>
      </c>
      <c r="I50" s="475"/>
      <c r="J50" s="257" t="str">
        <f>IF(ISBLANK(A50),"",VLOOKUP(B50,Ceilings!$A$4:$F$203,4,0))</f>
        <v/>
      </c>
      <c r="K50" s="257" t="str">
        <f t="shared" si="3"/>
        <v/>
      </c>
      <c r="L50" s="475"/>
      <c r="M50" s="257" t="str">
        <f>IF(ISBLANK(A50),"",VLOOKUP(B50,Ceilings!$A$4:$F$203,5,0))</f>
        <v/>
      </c>
      <c r="N50" s="257" t="str">
        <f t="shared" si="4"/>
        <v/>
      </c>
      <c r="O50" s="475"/>
      <c r="P50" s="257" t="str">
        <f>IF(ISBLANK(A50),"",VLOOKUP(B50,Ceilings!$A$4:$F$203,6,0))</f>
        <v/>
      </c>
      <c r="Q50" s="183" t="str">
        <f t="shared" si="5"/>
        <v/>
      </c>
    </row>
    <row r="51" spans="1:17">
      <c r="A51" s="506"/>
      <c r="B51" s="255" t="str">
        <f>IF(ISBLANK(A51),"",VLOOKUP(A51,Management!$A$11:$C$25,2,0))</f>
        <v/>
      </c>
      <c r="C51" s="473"/>
      <c r="D51" s="465" t="str">
        <f t="shared" si="0"/>
        <v/>
      </c>
      <c r="E51" s="256" t="str">
        <f t="shared" si="1"/>
        <v/>
      </c>
      <c r="F51" s="474"/>
      <c r="G51" s="257" t="str">
        <f>IF(ISBLANK(A51),"",VLOOKUP(B51,Ceilings!$A$4:$F$203,3,0))</f>
        <v/>
      </c>
      <c r="H51" s="257" t="str">
        <f t="shared" si="2"/>
        <v/>
      </c>
      <c r="I51" s="475"/>
      <c r="J51" s="257" t="str">
        <f>IF(ISBLANK(A51),"",VLOOKUP(B51,Ceilings!$A$4:$F$203,4,0))</f>
        <v/>
      </c>
      <c r="K51" s="257" t="str">
        <f t="shared" si="3"/>
        <v/>
      </c>
      <c r="L51" s="475"/>
      <c r="M51" s="257" t="str">
        <f>IF(ISBLANK(A51),"",VLOOKUP(B51,Ceilings!$A$4:$F$203,5,0))</f>
        <v/>
      </c>
      <c r="N51" s="257" t="str">
        <f t="shared" si="4"/>
        <v/>
      </c>
      <c r="O51" s="475"/>
      <c r="P51" s="257" t="str">
        <f>IF(ISBLANK(A51),"",VLOOKUP(B51,Ceilings!$A$4:$F$203,6,0))</f>
        <v/>
      </c>
      <c r="Q51" s="183" t="str">
        <f t="shared" si="5"/>
        <v/>
      </c>
    </row>
    <row r="52" spans="1:17">
      <c r="A52" s="506"/>
      <c r="B52" s="255" t="str">
        <f>IF(ISBLANK(A52),"",VLOOKUP(A52,Management!$A$11:$C$25,2,0))</f>
        <v/>
      </c>
      <c r="C52" s="473"/>
      <c r="D52" s="465" t="str">
        <f t="shared" si="0"/>
        <v/>
      </c>
      <c r="E52" s="256" t="str">
        <f t="shared" si="1"/>
        <v/>
      </c>
      <c r="F52" s="474"/>
      <c r="G52" s="257" t="str">
        <f>IF(ISBLANK(A52),"",VLOOKUP(B52,Ceilings!$A$4:$F$203,3,0))</f>
        <v/>
      </c>
      <c r="H52" s="257" t="str">
        <f t="shared" si="2"/>
        <v/>
      </c>
      <c r="I52" s="475"/>
      <c r="J52" s="257" t="str">
        <f>IF(ISBLANK(A52),"",VLOOKUP(B52,Ceilings!$A$4:$F$203,4,0))</f>
        <v/>
      </c>
      <c r="K52" s="257" t="str">
        <f t="shared" si="3"/>
        <v/>
      </c>
      <c r="L52" s="475"/>
      <c r="M52" s="257" t="str">
        <f>IF(ISBLANK(A52),"",VLOOKUP(B52,Ceilings!$A$4:$F$203,5,0))</f>
        <v/>
      </c>
      <c r="N52" s="257" t="str">
        <f t="shared" si="4"/>
        <v/>
      </c>
      <c r="O52" s="475"/>
      <c r="P52" s="257" t="str">
        <f>IF(ISBLANK(A52),"",VLOOKUP(B52,Ceilings!$A$4:$F$203,6,0))</f>
        <v/>
      </c>
      <c r="Q52" s="183" t="str">
        <f t="shared" si="5"/>
        <v/>
      </c>
    </row>
    <row r="53" spans="1:17">
      <c r="A53" s="506"/>
      <c r="B53" s="255" t="str">
        <f>IF(ISBLANK(A53),"",VLOOKUP(A53,Management!$A$11:$C$25,2,0))</f>
        <v/>
      </c>
      <c r="C53" s="473"/>
      <c r="D53" s="465" t="str">
        <f t="shared" si="0"/>
        <v/>
      </c>
      <c r="E53" s="256" t="str">
        <f t="shared" si="1"/>
        <v/>
      </c>
      <c r="F53" s="474"/>
      <c r="G53" s="257" t="str">
        <f>IF(ISBLANK(A53),"",VLOOKUP(B53,Ceilings!$A$4:$F$203,3,0))</f>
        <v/>
      </c>
      <c r="H53" s="257" t="str">
        <f t="shared" si="2"/>
        <v/>
      </c>
      <c r="I53" s="475"/>
      <c r="J53" s="257" t="str">
        <f>IF(ISBLANK(A53),"",VLOOKUP(B53,Ceilings!$A$4:$F$203,4,0))</f>
        <v/>
      </c>
      <c r="K53" s="257" t="str">
        <f t="shared" si="3"/>
        <v/>
      </c>
      <c r="L53" s="475"/>
      <c r="M53" s="257" t="str">
        <f>IF(ISBLANK(A53),"",VLOOKUP(B53,Ceilings!$A$4:$F$203,5,0))</f>
        <v/>
      </c>
      <c r="N53" s="257" t="str">
        <f t="shared" si="4"/>
        <v/>
      </c>
      <c r="O53" s="475"/>
      <c r="P53" s="257" t="str">
        <f>IF(ISBLANK(A53),"",VLOOKUP(B53,Ceilings!$A$4:$F$203,6,0))</f>
        <v/>
      </c>
      <c r="Q53" s="183" t="str">
        <f t="shared" si="5"/>
        <v/>
      </c>
    </row>
    <row r="54" spans="1:17">
      <c r="A54" s="506"/>
      <c r="B54" s="255" t="str">
        <f>IF(ISBLANK(A54),"",VLOOKUP(A54,Management!$A$11:$C$25,2,0))</f>
        <v/>
      </c>
      <c r="C54" s="473"/>
      <c r="D54" s="465" t="str">
        <f t="shared" si="0"/>
        <v/>
      </c>
      <c r="E54" s="256" t="str">
        <f t="shared" si="1"/>
        <v/>
      </c>
      <c r="F54" s="474"/>
      <c r="G54" s="257" t="str">
        <f>IF(ISBLANK(A54),"",VLOOKUP(B54,Ceilings!$A$4:$F$203,3,0))</f>
        <v/>
      </c>
      <c r="H54" s="257" t="str">
        <f t="shared" si="2"/>
        <v/>
      </c>
      <c r="I54" s="475"/>
      <c r="J54" s="257" t="str">
        <f>IF(ISBLANK(A54),"",VLOOKUP(B54,Ceilings!$A$4:$F$203,4,0))</f>
        <v/>
      </c>
      <c r="K54" s="257" t="str">
        <f t="shared" si="3"/>
        <v/>
      </c>
      <c r="L54" s="475"/>
      <c r="M54" s="257" t="str">
        <f>IF(ISBLANK(A54),"",VLOOKUP(B54,Ceilings!$A$4:$F$203,5,0))</f>
        <v/>
      </c>
      <c r="N54" s="257" t="str">
        <f t="shared" si="4"/>
        <v/>
      </c>
      <c r="O54" s="475"/>
      <c r="P54" s="257" t="str">
        <f>IF(ISBLANK(A54),"",VLOOKUP(B54,Ceilings!$A$4:$F$203,6,0))</f>
        <v/>
      </c>
      <c r="Q54" s="183" t="str">
        <f t="shared" si="5"/>
        <v/>
      </c>
    </row>
    <row r="55" spans="1:17">
      <c r="A55" s="506"/>
      <c r="B55" s="255" t="str">
        <f>IF(ISBLANK(A55),"",VLOOKUP(A55,Management!$A$11:$C$25,2,0))</f>
        <v/>
      </c>
      <c r="C55" s="473"/>
      <c r="D55" s="465" t="str">
        <f t="shared" si="0"/>
        <v/>
      </c>
      <c r="E55" s="256" t="str">
        <f t="shared" si="1"/>
        <v/>
      </c>
      <c r="F55" s="474"/>
      <c r="G55" s="257" t="str">
        <f>IF(ISBLANK(A55),"",VLOOKUP(B55,Ceilings!$A$4:$F$203,3,0))</f>
        <v/>
      </c>
      <c r="H55" s="257" t="str">
        <f t="shared" si="2"/>
        <v/>
      </c>
      <c r="I55" s="475"/>
      <c r="J55" s="257" t="str">
        <f>IF(ISBLANK(A55),"",VLOOKUP(B55,Ceilings!$A$4:$F$203,4,0))</f>
        <v/>
      </c>
      <c r="K55" s="257" t="str">
        <f t="shared" si="3"/>
        <v/>
      </c>
      <c r="L55" s="475"/>
      <c r="M55" s="257" t="str">
        <f>IF(ISBLANK(A55),"",VLOOKUP(B55,Ceilings!$A$4:$F$203,5,0))</f>
        <v/>
      </c>
      <c r="N55" s="257" t="str">
        <f t="shared" si="4"/>
        <v/>
      </c>
      <c r="O55" s="475"/>
      <c r="P55" s="257" t="str">
        <f>IF(ISBLANK(A55),"",VLOOKUP(B55,Ceilings!$A$4:$F$203,6,0))</f>
        <v/>
      </c>
      <c r="Q55" s="183" t="str">
        <f t="shared" si="5"/>
        <v/>
      </c>
    </row>
    <row r="56" spans="1:17">
      <c r="A56" s="506"/>
      <c r="B56" s="255" t="str">
        <f>IF(ISBLANK(A56),"",VLOOKUP(A56,Management!$A$11:$C$25,2,0))</f>
        <v/>
      </c>
      <c r="C56" s="473"/>
      <c r="D56" s="465" t="str">
        <f t="shared" si="0"/>
        <v/>
      </c>
      <c r="E56" s="256" t="str">
        <f t="shared" si="1"/>
        <v/>
      </c>
      <c r="F56" s="474"/>
      <c r="G56" s="257" t="str">
        <f>IF(ISBLANK(A56),"",VLOOKUP(B56,Ceilings!$A$4:$F$203,3,0))</f>
        <v/>
      </c>
      <c r="H56" s="257" t="str">
        <f t="shared" si="2"/>
        <v/>
      </c>
      <c r="I56" s="475"/>
      <c r="J56" s="257" t="str">
        <f>IF(ISBLANK(A56),"",VLOOKUP(B56,Ceilings!$A$4:$F$203,4,0))</f>
        <v/>
      </c>
      <c r="K56" s="257" t="str">
        <f t="shared" si="3"/>
        <v/>
      </c>
      <c r="L56" s="475"/>
      <c r="M56" s="257" t="str">
        <f>IF(ISBLANK(A56),"",VLOOKUP(B56,Ceilings!$A$4:$F$203,5,0))</f>
        <v/>
      </c>
      <c r="N56" s="257" t="str">
        <f t="shared" si="4"/>
        <v/>
      </c>
      <c r="O56" s="475"/>
      <c r="P56" s="257" t="str">
        <f>IF(ISBLANK(A56),"",VLOOKUP(B56,Ceilings!$A$4:$F$203,6,0))</f>
        <v/>
      </c>
      <c r="Q56" s="183" t="str">
        <f t="shared" si="5"/>
        <v/>
      </c>
    </row>
    <row r="57" spans="1:17">
      <c r="A57" s="506"/>
      <c r="B57" s="255" t="str">
        <f>IF(ISBLANK(A57),"",VLOOKUP(A57,Management!$A$11:$C$25,2,0))</f>
        <v/>
      </c>
      <c r="C57" s="473"/>
      <c r="D57" s="465" t="str">
        <f t="shared" si="0"/>
        <v/>
      </c>
      <c r="E57" s="256" t="str">
        <f t="shared" si="1"/>
        <v/>
      </c>
      <c r="F57" s="474"/>
      <c r="G57" s="257" t="str">
        <f>IF(ISBLANK(A57),"",VLOOKUP(B57,Ceilings!$A$4:$F$203,3,0))</f>
        <v/>
      </c>
      <c r="H57" s="257" t="str">
        <f t="shared" si="2"/>
        <v/>
      </c>
      <c r="I57" s="475"/>
      <c r="J57" s="257" t="str">
        <f>IF(ISBLANK(A57),"",VLOOKUP(B57,Ceilings!$A$4:$F$203,4,0))</f>
        <v/>
      </c>
      <c r="K57" s="257" t="str">
        <f t="shared" si="3"/>
        <v/>
      </c>
      <c r="L57" s="475"/>
      <c r="M57" s="257" t="str">
        <f>IF(ISBLANK(A57),"",VLOOKUP(B57,Ceilings!$A$4:$F$203,5,0))</f>
        <v/>
      </c>
      <c r="N57" s="257" t="str">
        <f t="shared" si="4"/>
        <v/>
      </c>
      <c r="O57" s="475"/>
      <c r="P57" s="257" t="str">
        <f>IF(ISBLANK(A57),"",VLOOKUP(B57,Ceilings!$A$4:$F$203,6,0))</f>
        <v/>
      </c>
      <c r="Q57" s="183" t="str">
        <f t="shared" si="5"/>
        <v/>
      </c>
    </row>
    <row r="58" spans="1:17">
      <c r="A58" s="506"/>
      <c r="B58" s="255" t="str">
        <f>IF(ISBLANK(A58),"",VLOOKUP(A58,Management!$A$11:$C$25,2,0))</f>
        <v/>
      </c>
      <c r="C58" s="473"/>
      <c r="D58" s="465" t="str">
        <f t="shared" si="0"/>
        <v/>
      </c>
      <c r="E58" s="256" t="str">
        <f t="shared" si="1"/>
        <v/>
      </c>
      <c r="F58" s="474"/>
      <c r="G58" s="257" t="str">
        <f>IF(ISBLANK(A58),"",VLOOKUP(B58,Ceilings!$A$4:$F$203,3,0))</f>
        <v/>
      </c>
      <c r="H58" s="257" t="str">
        <f t="shared" si="2"/>
        <v/>
      </c>
      <c r="I58" s="475"/>
      <c r="J58" s="257" t="str">
        <f>IF(ISBLANK(A58),"",VLOOKUP(B58,Ceilings!$A$4:$F$203,4,0))</f>
        <v/>
      </c>
      <c r="K58" s="257" t="str">
        <f t="shared" si="3"/>
        <v/>
      </c>
      <c r="L58" s="475"/>
      <c r="M58" s="257" t="str">
        <f>IF(ISBLANK(A58),"",VLOOKUP(B58,Ceilings!$A$4:$F$203,5,0))</f>
        <v/>
      </c>
      <c r="N58" s="257" t="str">
        <f t="shared" si="4"/>
        <v/>
      </c>
      <c r="O58" s="475"/>
      <c r="P58" s="257" t="str">
        <f>IF(ISBLANK(A58),"",VLOOKUP(B58,Ceilings!$A$4:$F$203,6,0))</f>
        <v/>
      </c>
      <c r="Q58" s="183" t="str">
        <f t="shared" si="5"/>
        <v/>
      </c>
    </row>
    <row r="59" spans="1:17">
      <c r="A59" s="506"/>
      <c r="B59" s="255" t="str">
        <f>IF(ISBLANK(A59),"",VLOOKUP(A59,Management!$A$11:$C$25,2,0))</f>
        <v/>
      </c>
      <c r="C59" s="473"/>
      <c r="D59" s="465" t="str">
        <f t="shared" si="0"/>
        <v/>
      </c>
      <c r="E59" s="256" t="str">
        <f t="shared" si="1"/>
        <v/>
      </c>
      <c r="F59" s="474"/>
      <c r="G59" s="257" t="str">
        <f>IF(ISBLANK(A59),"",VLOOKUP(B59,Ceilings!$A$4:$F$203,3,0))</f>
        <v/>
      </c>
      <c r="H59" s="257" t="str">
        <f t="shared" si="2"/>
        <v/>
      </c>
      <c r="I59" s="475"/>
      <c r="J59" s="257" t="str">
        <f>IF(ISBLANK(A59),"",VLOOKUP(B59,Ceilings!$A$4:$F$203,4,0))</f>
        <v/>
      </c>
      <c r="K59" s="257" t="str">
        <f t="shared" si="3"/>
        <v/>
      </c>
      <c r="L59" s="475"/>
      <c r="M59" s="257" t="str">
        <f>IF(ISBLANK(A59),"",VLOOKUP(B59,Ceilings!$A$4:$F$203,5,0))</f>
        <v/>
      </c>
      <c r="N59" s="257" t="str">
        <f t="shared" si="4"/>
        <v/>
      </c>
      <c r="O59" s="475"/>
      <c r="P59" s="257" t="str">
        <f>IF(ISBLANK(A59),"",VLOOKUP(B59,Ceilings!$A$4:$F$203,6,0))</f>
        <v/>
      </c>
      <c r="Q59" s="183" t="str">
        <f t="shared" si="5"/>
        <v/>
      </c>
    </row>
    <row r="60" spans="1:17">
      <c r="A60" s="506"/>
      <c r="B60" s="255" t="str">
        <f>IF(ISBLANK(A60),"",VLOOKUP(A60,Management!$A$11:$C$25,2,0))</f>
        <v/>
      </c>
      <c r="C60" s="473"/>
      <c r="D60" s="465" t="str">
        <f t="shared" si="0"/>
        <v/>
      </c>
      <c r="E60" s="256" t="str">
        <f t="shared" si="1"/>
        <v/>
      </c>
      <c r="F60" s="474"/>
      <c r="G60" s="257" t="str">
        <f>IF(ISBLANK(A60),"",VLOOKUP(B60,Ceilings!$A$4:$F$203,3,0))</f>
        <v/>
      </c>
      <c r="H60" s="257" t="str">
        <f t="shared" si="2"/>
        <v/>
      </c>
      <c r="I60" s="475"/>
      <c r="J60" s="257" t="str">
        <f>IF(ISBLANK(A60),"",VLOOKUP(B60,Ceilings!$A$4:$F$203,4,0))</f>
        <v/>
      </c>
      <c r="K60" s="257" t="str">
        <f t="shared" si="3"/>
        <v/>
      </c>
      <c r="L60" s="475"/>
      <c r="M60" s="257" t="str">
        <f>IF(ISBLANK(A60),"",VLOOKUP(B60,Ceilings!$A$4:$F$203,5,0))</f>
        <v/>
      </c>
      <c r="N60" s="257" t="str">
        <f t="shared" si="4"/>
        <v/>
      </c>
      <c r="O60" s="475"/>
      <c r="P60" s="257" t="str">
        <f>IF(ISBLANK(A60),"",VLOOKUP(B60,Ceilings!$A$4:$F$203,6,0))</f>
        <v/>
      </c>
      <c r="Q60" s="183" t="str">
        <f t="shared" si="5"/>
        <v/>
      </c>
    </row>
    <row r="61" spans="1:17">
      <c r="A61" s="506"/>
      <c r="B61" s="255" t="str">
        <f>IF(ISBLANK(A61),"",VLOOKUP(A61,Management!$A$11:$C$25,2,0))</f>
        <v/>
      </c>
      <c r="C61" s="473"/>
      <c r="D61" s="465" t="str">
        <f t="shared" si="0"/>
        <v/>
      </c>
      <c r="E61" s="256" t="str">
        <f t="shared" si="1"/>
        <v/>
      </c>
      <c r="F61" s="474"/>
      <c r="G61" s="257" t="str">
        <f>IF(ISBLANK(A61),"",VLOOKUP(B61,Ceilings!$A$4:$F$203,3,0))</f>
        <v/>
      </c>
      <c r="H61" s="257" t="str">
        <f t="shared" si="2"/>
        <v/>
      </c>
      <c r="I61" s="475"/>
      <c r="J61" s="257" t="str">
        <f>IF(ISBLANK(A61),"",VLOOKUP(B61,Ceilings!$A$4:$F$203,4,0))</f>
        <v/>
      </c>
      <c r="K61" s="257" t="str">
        <f t="shared" si="3"/>
        <v/>
      </c>
      <c r="L61" s="475"/>
      <c r="M61" s="257" t="str">
        <f>IF(ISBLANK(A61),"",VLOOKUP(B61,Ceilings!$A$4:$F$203,5,0))</f>
        <v/>
      </c>
      <c r="N61" s="257" t="str">
        <f t="shared" si="4"/>
        <v/>
      </c>
      <c r="O61" s="475"/>
      <c r="P61" s="257" t="str">
        <f>IF(ISBLANK(A61),"",VLOOKUP(B61,Ceilings!$A$4:$F$203,6,0))</f>
        <v/>
      </c>
      <c r="Q61" s="183" t="str">
        <f t="shared" si="5"/>
        <v/>
      </c>
    </row>
    <row r="62" spans="1:17">
      <c r="A62" s="506"/>
      <c r="B62" s="255" t="str">
        <f>IF(ISBLANK(A62),"",VLOOKUP(A62,Management!$A$11:$C$25,2,0))</f>
        <v/>
      </c>
      <c r="C62" s="473"/>
      <c r="D62" s="465" t="str">
        <f t="shared" si="0"/>
        <v/>
      </c>
      <c r="E62" s="256" t="str">
        <f t="shared" si="1"/>
        <v/>
      </c>
      <c r="F62" s="474"/>
      <c r="G62" s="257" t="str">
        <f>IF(ISBLANK(A62),"",VLOOKUP(B62,Ceilings!$A$4:$F$203,3,0))</f>
        <v/>
      </c>
      <c r="H62" s="257" t="str">
        <f t="shared" si="2"/>
        <v/>
      </c>
      <c r="I62" s="475"/>
      <c r="J62" s="257" t="str">
        <f>IF(ISBLANK(A62),"",VLOOKUP(B62,Ceilings!$A$4:$F$203,4,0))</f>
        <v/>
      </c>
      <c r="K62" s="257" t="str">
        <f t="shared" si="3"/>
        <v/>
      </c>
      <c r="L62" s="475"/>
      <c r="M62" s="257" t="str">
        <f>IF(ISBLANK(A62),"",VLOOKUP(B62,Ceilings!$A$4:$F$203,5,0))</f>
        <v/>
      </c>
      <c r="N62" s="257" t="str">
        <f t="shared" si="4"/>
        <v/>
      </c>
      <c r="O62" s="475"/>
      <c r="P62" s="257" t="str">
        <f>IF(ISBLANK(A62),"",VLOOKUP(B62,Ceilings!$A$4:$F$203,6,0))</f>
        <v/>
      </c>
      <c r="Q62" s="183" t="str">
        <f t="shared" si="5"/>
        <v/>
      </c>
    </row>
    <row r="63" spans="1:17">
      <c r="A63" s="506"/>
      <c r="B63" s="255" t="str">
        <f>IF(ISBLANK(A63),"",VLOOKUP(A63,Management!$A$11:$C$25,2,0))</f>
        <v/>
      </c>
      <c r="C63" s="473"/>
      <c r="D63" s="465" t="str">
        <f t="shared" si="0"/>
        <v/>
      </c>
      <c r="E63" s="256" t="str">
        <f t="shared" si="1"/>
        <v/>
      </c>
      <c r="F63" s="474"/>
      <c r="G63" s="257" t="str">
        <f>IF(ISBLANK(A63),"",VLOOKUP(B63,Ceilings!$A$4:$F$203,3,0))</f>
        <v/>
      </c>
      <c r="H63" s="257" t="str">
        <f t="shared" si="2"/>
        <v/>
      </c>
      <c r="I63" s="475"/>
      <c r="J63" s="257" t="str">
        <f>IF(ISBLANK(A63),"",VLOOKUP(B63,Ceilings!$A$4:$F$203,4,0))</f>
        <v/>
      </c>
      <c r="K63" s="257" t="str">
        <f t="shared" si="3"/>
        <v/>
      </c>
      <c r="L63" s="475"/>
      <c r="M63" s="257" t="str">
        <f>IF(ISBLANK(A63),"",VLOOKUP(B63,Ceilings!$A$4:$F$203,5,0))</f>
        <v/>
      </c>
      <c r="N63" s="257" t="str">
        <f t="shared" si="4"/>
        <v/>
      </c>
      <c r="O63" s="475"/>
      <c r="P63" s="257" t="str">
        <f>IF(ISBLANK(A63),"",VLOOKUP(B63,Ceilings!$A$4:$F$203,6,0))</f>
        <v/>
      </c>
      <c r="Q63" s="183" t="str">
        <f t="shared" si="5"/>
        <v/>
      </c>
    </row>
    <row r="64" spans="1:17">
      <c r="A64" s="506"/>
      <c r="B64" s="255" t="str">
        <f>IF(ISBLANK(A64),"",VLOOKUP(A64,Management!$A$11:$C$25,2,0))</f>
        <v/>
      </c>
      <c r="C64" s="473"/>
      <c r="D64" s="465" t="str">
        <f t="shared" si="0"/>
        <v/>
      </c>
      <c r="E64" s="256" t="str">
        <f t="shared" si="1"/>
        <v/>
      </c>
      <c r="F64" s="474"/>
      <c r="G64" s="257" t="str">
        <f>IF(ISBLANK(A64),"",VLOOKUP(B64,Ceilings!$A$4:$F$203,3,0))</f>
        <v/>
      </c>
      <c r="H64" s="257" t="str">
        <f t="shared" si="2"/>
        <v/>
      </c>
      <c r="I64" s="475"/>
      <c r="J64" s="257" t="str">
        <f>IF(ISBLANK(A64),"",VLOOKUP(B64,Ceilings!$A$4:$F$203,4,0))</f>
        <v/>
      </c>
      <c r="K64" s="257" t="str">
        <f t="shared" si="3"/>
        <v/>
      </c>
      <c r="L64" s="475"/>
      <c r="M64" s="257" t="str">
        <f>IF(ISBLANK(A64),"",VLOOKUP(B64,Ceilings!$A$4:$F$203,5,0))</f>
        <v/>
      </c>
      <c r="N64" s="257" t="str">
        <f t="shared" si="4"/>
        <v/>
      </c>
      <c r="O64" s="475"/>
      <c r="P64" s="257" t="str">
        <f>IF(ISBLANK(A64),"",VLOOKUP(B64,Ceilings!$A$4:$F$203,6,0))</f>
        <v/>
      </c>
      <c r="Q64" s="183" t="str">
        <f t="shared" si="5"/>
        <v/>
      </c>
    </row>
    <row r="65" spans="1:17">
      <c r="A65" s="506"/>
      <c r="B65" s="255" t="str">
        <f>IF(ISBLANK(A65),"",VLOOKUP(A65,Management!$A$11:$C$25,2,0))</f>
        <v/>
      </c>
      <c r="C65" s="473"/>
      <c r="D65" s="465" t="str">
        <f t="shared" si="0"/>
        <v/>
      </c>
      <c r="E65" s="256" t="str">
        <f t="shared" si="1"/>
        <v/>
      </c>
      <c r="F65" s="474"/>
      <c r="G65" s="257" t="str">
        <f>IF(ISBLANK(A65),"",VLOOKUP(B65,Ceilings!$A$4:$F$203,3,0))</f>
        <v/>
      </c>
      <c r="H65" s="257" t="str">
        <f t="shared" si="2"/>
        <v/>
      </c>
      <c r="I65" s="475"/>
      <c r="J65" s="257" t="str">
        <f>IF(ISBLANK(A65),"",VLOOKUP(B65,Ceilings!$A$4:$F$203,4,0))</f>
        <v/>
      </c>
      <c r="K65" s="257" t="str">
        <f t="shared" si="3"/>
        <v/>
      </c>
      <c r="L65" s="475"/>
      <c r="M65" s="257" t="str">
        <f>IF(ISBLANK(A65),"",VLOOKUP(B65,Ceilings!$A$4:$F$203,5,0))</f>
        <v/>
      </c>
      <c r="N65" s="257" t="str">
        <f t="shared" si="4"/>
        <v/>
      </c>
      <c r="O65" s="475"/>
      <c r="P65" s="257" t="str">
        <f>IF(ISBLANK(A65),"",VLOOKUP(B65,Ceilings!$A$4:$F$203,6,0))</f>
        <v/>
      </c>
      <c r="Q65" s="183" t="str">
        <f t="shared" si="5"/>
        <v/>
      </c>
    </row>
    <row r="66" spans="1:17">
      <c r="A66" s="506"/>
      <c r="B66" s="255" t="str">
        <f>IF(ISBLANK(A66),"",VLOOKUP(A66,Management!$A$11:$C$25,2,0))</f>
        <v/>
      </c>
      <c r="C66" s="473"/>
      <c r="D66" s="465" t="str">
        <f t="shared" si="0"/>
        <v/>
      </c>
      <c r="E66" s="256" t="str">
        <f t="shared" si="1"/>
        <v/>
      </c>
      <c r="F66" s="474"/>
      <c r="G66" s="257" t="str">
        <f>IF(ISBLANK(A66),"",VLOOKUP(B66,Ceilings!$A$4:$F$203,3,0))</f>
        <v/>
      </c>
      <c r="H66" s="257" t="str">
        <f t="shared" si="2"/>
        <v/>
      </c>
      <c r="I66" s="475"/>
      <c r="J66" s="257" t="str">
        <f>IF(ISBLANK(A66),"",VLOOKUP(B66,Ceilings!$A$4:$F$203,4,0))</f>
        <v/>
      </c>
      <c r="K66" s="257" t="str">
        <f t="shared" si="3"/>
        <v/>
      </c>
      <c r="L66" s="475"/>
      <c r="M66" s="257" t="str">
        <f>IF(ISBLANK(A66),"",VLOOKUP(B66,Ceilings!$A$4:$F$203,5,0))</f>
        <v/>
      </c>
      <c r="N66" s="257" t="str">
        <f t="shared" si="4"/>
        <v/>
      </c>
      <c r="O66" s="475"/>
      <c r="P66" s="257" t="str">
        <f>IF(ISBLANK(A66),"",VLOOKUP(B66,Ceilings!$A$4:$F$203,6,0))</f>
        <v/>
      </c>
      <c r="Q66" s="183" t="str">
        <f t="shared" si="5"/>
        <v/>
      </c>
    </row>
    <row r="67" spans="1:17">
      <c r="A67" s="506"/>
      <c r="B67" s="255" t="str">
        <f>IF(ISBLANK(A67),"",VLOOKUP(A67,Management!$A$11:$C$25,2,0))</f>
        <v/>
      </c>
      <c r="C67" s="473"/>
      <c r="D67" s="465" t="str">
        <f t="shared" si="0"/>
        <v/>
      </c>
      <c r="E67" s="256" t="str">
        <f t="shared" si="1"/>
        <v/>
      </c>
      <c r="F67" s="474"/>
      <c r="G67" s="257" t="str">
        <f>IF(ISBLANK(A67),"",VLOOKUP(B67,Ceilings!$A$4:$F$203,3,0))</f>
        <v/>
      </c>
      <c r="H67" s="257" t="str">
        <f t="shared" si="2"/>
        <v/>
      </c>
      <c r="I67" s="475"/>
      <c r="J67" s="257" t="str">
        <f>IF(ISBLANK(A67),"",VLOOKUP(B67,Ceilings!$A$4:$F$203,4,0))</f>
        <v/>
      </c>
      <c r="K67" s="257" t="str">
        <f t="shared" si="3"/>
        <v/>
      </c>
      <c r="L67" s="475"/>
      <c r="M67" s="257" t="str">
        <f>IF(ISBLANK(A67),"",VLOOKUP(B67,Ceilings!$A$4:$F$203,5,0))</f>
        <v/>
      </c>
      <c r="N67" s="257" t="str">
        <f t="shared" si="4"/>
        <v/>
      </c>
      <c r="O67" s="475"/>
      <c r="P67" s="257" t="str">
        <f>IF(ISBLANK(A67),"",VLOOKUP(B67,Ceilings!$A$4:$F$203,6,0))</f>
        <v/>
      </c>
      <c r="Q67" s="183" t="str">
        <f t="shared" si="5"/>
        <v/>
      </c>
    </row>
    <row r="68" spans="1:17">
      <c r="A68" s="506"/>
      <c r="B68" s="255" t="str">
        <f>IF(ISBLANK(A68),"",VLOOKUP(A68,Management!$A$11:$C$25,2,0))</f>
        <v/>
      </c>
      <c r="C68" s="473"/>
      <c r="D68" s="465" t="str">
        <f t="shared" si="0"/>
        <v/>
      </c>
      <c r="E68" s="256" t="str">
        <f t="shared" si="1"/>
        <v/>
      </c>
      <c r="F68" s="474"/>
      <c r="G68" s="257" t="str">
        <f>IF(ISBLANK(A68),"",VLOOKUP(B68,Ceilings!$A$4:$F$203,3,0))</f>
        <v/>
      </c>
      <c r="H68" s="257" t="str">
        <f t="shared" si="2"/>
        <v/>
      </c>
      <c r="I68" s="475"/>
      <c r="J68" s="257" t="str">
        <f>IF(ISBLANK(A68),"",VLOOKUP(B68,Ceilings!$A$4:$F$203,4,0))</f>
        <v/>
      </c>
      <c r="K68" s="257" t="str">
        <f t="shared" si="3"/>
        <v/>
      </c>
      <c r="L68" s="475"/>
      <c r="M68" s="257" t="str">
        <f>IF(ISBLANK(A68),"",VLOOKUP(B68,Ceilings!$A$4:$F$203,5,0))</f>
        <v/>
      </c>
      <c r="N68" s="257" t="str">
        <f t="shared" si="4"/>
        <v/>
      </c>
      <c r="O68" s="475"/>
      <c r="P68" s="257" t="str">
        <f>IF(ISBLANK(A68),"",VLOOKUP(B68,Ceilings!$A$4:$F$203,6,0))</f>
        <v/>
      </c>
      <c r="Q68" s="183" t="str">
        <f t="shared" si="5"/>
        <v/>
      </c>
    </row>
    <row r="69" spans="1:17">
      <c r="A69" s="506"/>
      <c r="B69" s="255" t="str">
        <f>IF(ISBLANK(A69),"",VLOOKUP(A69,Management!$A$11:$C$25,2,0))</f>
        <v/>
      </c>
      <c r="C69" s="473"/>
      <c r="D69" s="465" t="str">
        <f t="shared" si="0"/>
        <v/>
      </c>
      <c r="E69" s="256" t="str">
        <f t="shared" si="1"/>
        <v/>
      </c>
      <c r="F69" s="474"/>
      <c r="G69" s="257" t="str">
        <f>IF(ISBLANK(A69),"",VLOOKUP(B69,Ceilings!$A$4:$F$203,3,0))</f>
        <v/>
      </c>
      <c r="H69" s="257" t="str">
        <f t="shared" si="2"/>
        <v/>
      </c>
      <c r="I69" s="475"/>
      <c r="J69" s="257" t="str">
        <f>IF(ISBLANK(A69),"",VLOOKUP(B69,Ceilings!$A$4:$F$203,4,0))</f>
        <v/>
      </c>
      <c r="K69" s="257" t="str">
        <f t="shared" si="3"/>
        <v/>
      </c>
      <c r="L69" s="475"/>
      <c r="M69" s="257" t="str">
        <f>IF(ISBLANK(A69),"",VLOOKUP(B69,Ceilings!$A$4:$F$203,5,0))</f>
        <v/>
      </c>
      <c r="N69" s="257" t="str">
        <f t="shared" si="4"/>
        <v/>
      </c>
      <c r="O69" s="475"/>
      <c r="P69" s="257" t="str">
        <f>IF(ISBLANK(A69),"",VLOOKUP(B69,Ceilings!$A$4:$F$203,6,0))</f>
        <v/>
      </c>
      <c r="Q69" s="183" t="str">
        <f t="shared" si="5"/>
        <v/>
      </c>
    </row>
    <row r="70" spans="1:17">
      <c r="A70" s="506"/>
      <c r="B70" s="255" t="str">
        <f>IF(ISBLANK(A70),"",VLOOKUP(A70,Management!$A$11:$C$25,2,0))</f>
        <v/>
      </c>
      <c r="C70" s="473"/>
      <c r="D70" s="465" t="str">
        <f t="shared" si="0"/>
        <v/>
      </c>
      <c r="E70" s="256" t="str">
        <f t="shared" si="1"/>
        <v/>
      </c>
      <c r="F70" s="474"/>
      <c r="G70" s="257" t="str">
        <f>IF(ISBLANK(A70),"",VLOOKUP(B70,Ceilings!$A$4:$F$203,3,0))</f>
        <v/>
      </c>
      <c r="H70" s="257" t="str">
        <f t="shared" si="2"/>
        <v/>
      </c>
      <c r="I70" s="475"/>
      <c r="J70" s="257" t="str">
        <f>IF(ISBLANK(A70),"",VLOOKUP(B70,Ceilings!$A$4:$F$203,4,0))</f>
        <v/>
      </c>
      <c r="K70" s="257" t="str">
        <f t="shared" si="3"/>
        <v/>
      </c>
      <c r="L70" s="475"/>
      <c r="M70" s="257" t="str">
        <f>IF(ISBLANK(A70),"",VLOOKUP(B70,Ceilings!$A$4:$F$203,5,0))</f>
        <v/>
      </c>
      <c r="N70" s="257" t="str">
        <f t="shared" si="4"/>
        <v/>
      </c>
      <c r="O70" s="475"/>
      <c r="P70" s="257" t="str">
        <f>IF(ISBLANK(A70),"",VLOOKUP(B70,Ceilings!$A$4:$F$203,6,0))</f>
        <v/>
      </c>
      <c r="Q70" s="183" t="str">
        <f t="shared" si="5"/>
        <v/>
      </c>
    </row>
    <row r="71" spans="1:17">
      <c r="A71" s="506"/>
      <c r="B71" s="255" t="str">
        <f>IF(ISBLANK(A71),"",VLOOKUP(A71,Management!$A$11:$C$25,2,0))</f>
        <v/>
      </c>
      <c r="C71" s="473"/>
      <c r="D71" s="465" t="str">
        <f t="shared" si="0"/>
        <v/>
      </c>
      <c r="E71" s="256" t="str">
        <f t="shared" si="1"/>
        <v/>
      </c>
      <c r="F71" s="474"/>
      <c r="G71" s="257" t="str">
        <f>IF(ISBLANK(A71),"",VLOOKUP(B71,Ceilings!$A$4:$F$203,3,0))</f>
        <v/>
      </c>
      <c r="H71" s="257" t="str">
        <f t="shared" si="2"/>
        <v/>
      </c>
      <c r="I71" s="475"/>
      <c r="J71" s="257" t="str">
        <f>IF(ISBLANK(A71),"",VLOOKUP(B71,Ceilings!$A$4:$F$203,4,0))</f>
        <v/>
      </c>
      <c r="K71" s="257" t="str">
        <f t="shared" si="3"/>
        <v/>
      </c>
      <c r="L71" s="475"/>
      <c r="M71" s="257" t="str">
        <f>IF(ISBLANK(A71),"",VLOOKUP(B71,Ceilings!$A$4:$F$203,5,0))</f>
        <v/>
      </c>
      <c r="N71" s="257" t="str">
        <f t="shared" si="4"/>
        <v/>
      </c>
      <c r="O71" s="475"/>
      <c r="P71" s="257" t="str">
        <f>IF(ISBLANK(A71),"",VLOOKUP(B71,Ceilings!$A$4:$F$203,6,0))</f>
        <v/>
      </c>
      <c r="Q71" s="183" t="str">
        <f t="shared" si="5"/>
        <v/>
      </c>
    </row>
    <row r="72" spans="1:17">
      <c r="A72" s="506"/>
      <c r="B72" s="255" t="str">
        <f>IF(ISBLANK(A72),"",VLOOKUP(A72,Management!$A$11:$C$25,2,0))</f>
        <v/>
      </c>
      <c r="C72" s="473"/>
      <c r="D72" s="465" t="str">
        <f t="shared" si="0"/>
        <v/>
      </c>
      <c r="E72" s="256" t="str">
        <f t="shared" si="1"/>
        <v/>
      </c>
      <c r="F72" s="474"/>
      <c r="G72" s="257" t="str">
        <f>IF(ISBLANK(A72),"",VLOOKUP(B72,Ceilings!$A$4:$F$203,3,0))</f>
        <v/>
      </c>
      <c r="H72" s="257" t="str">
        <f t="shared" si="2"/>
        <v/>
      </c>
      <c r="I72" s="475"/>
      <c r="J72" s="257" t="str">
        <f>IF(ISBLANK(A72),"",VLOOKUP(B72,Ceilings!$A$4:$F$203,4,0))</f>
        <v/>
      </c>
      <c r="K72" s="257" t="str">
        <f t="shared" si="3"/>
        <v/>
      </c>
      <c r="L72" s="475"/>
      <c r="M72" s="257" t="str">
        <f>IF(ISBLANK(A72),"",VLOOKUP(B72,Ceilings!$A$4:$F$203,5,0))</f>
        <v/>
      </c>
      <c r="N72" s="257" t="str">
        <f t="shared" si="4"/>
        <v/>
      </c>
      <c r="O72" s="475"/>
      <c r="P72" s="257" t="str">
        <f>IF(ISBLANK(A72),"",VLOOKUP(B72,Ceilings!$A$4:$F$203,6,0))</f>
        <v/>
      </c>
      <c r="Q72" s="183" t="str">
        <f t="shared" si="5"/>
        <v/>
      </c>
    </row>
    <row r="73" spans="1:17">
      <c r="A73" s="506"/>
      <c r="B73" s="255" t="str">
        <f>IF(ISBLANK(A73),"",VLOOKUP(A73,Management!$A$11:$C$25,2,0))</f>
        <v/>
      </c>
      <c r="C73" s="473"/>
      <c r="D73" s="465" t="str">
        <f t="shared" ref="D73:D109" si="6">IF(ISBLANK(A73),"",SUM(F73,I73,L73,O73))</f>
        <v/>
      </c>
      <c r="E73" s="256" t="str">
        <f t="shared" ref="E73:E109" si="7">IF(ISBLANK(A73),"",IF(ISBLANK(C73),"Missing data",SUM(H73,K73,N73,Q73)))</f>
        <v/>
      </c>
      <c r="F73" s="474"/>
      <c r="G73" s="257" t="str">
        <f>IF(ISBLANK(A73),"",VLOOKUP(B73,Ceilings!$A$4:$F$203,3,0))</f>
        <v/>
      </c>
      <c r="H73" s="257" t="str">
        <f t="shared" ref="H73:H109" si="8">IF(ISBLANK($A73),"",F73*G73)</f>
        <v/>
      </c>
      <c r="I73" s="475"/>
      <c r="J73" s="257" t="str">
        <f>IF(ISBLANK(A73),"",VLOOKUP(B73,Ceilings!$A$4:$F$203,4,0))</f>
        <v/>
      </c>
      <c r="K73" s="257" t="str">
        <f t="shared" ref="K73:K109" si="9">IF(ISBLANK($A73),"",I73*J73)</f>
        <v/>
      </c>
      <c r="L73" s="475"/>
      <c r="M73" s="257" t="str">
        <f>IF(ISBLANK(A73),"",VLOOKUP(B73,Ceilings!$A$4:$F$203,5,0))</f>
        <v/>
      </c>
      <c r="N73" s="257" t="str">
        <f t="shared" ref="N73:N109" si="10">IF(ISBLANK($A73),"",L73*M73)</f>
        <v/>
      </c>
      <c r="O73" s="475"/>
      <c r="P73" s="257" t="str">
        <f>IF(ISBLANK(A73),"",VLOOKUP(B73,Ceilings!$A$4:$F$203,6,0))</f>
        <v/>
      </c>
      <c r="Q73" s="183" t="str">
        <f t="shared" ref="Q73:Q109" si="11">IF(ISBLANK($A73),"",O73*P73)</f>
        <v/>
      </c>
    </row>
    <row r="74" spans="1:17">
      <c r="A74" s="506"/>
      <c r="B74" s="255" t="str">
        <f>IF(ISBLANK(A74),"",VLOOKUP(A74,Management!$A$11:$C$25,2,0))</f>
        <v/>
      </c>
      <c r="C74" s="473"/>
      <c r="D74" s="465" t="str">
        <f t="shared" si="6"/>
        <v/>
      </c>
      <c r="E74" s="256" t="str">
        <f t="shared" si="7"/>
        <v/>
      </c>
      <c r="F74" s="474"/>
      <c r="G74" s="257" t="str">
        <f>IF(ISBLANK(A74),"",VLOOKUP(B74,Ceilings!$A$4:$F$203,3,0))</f>
        <v/>
      </c>
      <c r="H74" s="257" t="str">
        <f t="shared" si="8"/>
        <v/>
      </c>
      <c r="I74" s="475"/>
      <c r="J74" s="257" t="str">
        <f>IF(ISBLANK(A74),"",VLOOKUP(B74,Ceilings!$A$4:$F$203,4,0))</f>
        <v/>
      </c>
      <c r="K74" s="257" t="str">
        <f t="shared" si="9"/>
        <v/>
      </c>
      <c r="L74" s="475"/>
      <c r="M74" s="257" t="str">
        <f>IF(ISBLANK(A74),"",VLOOKUP(B74,Ceilings!$A$4:$F$203,5,0))</f>
        <v/>
      </c>
      <c r="N74" s="257" t="str">
        <f t="shared" si="10"/>
        <v/>
      </c>
      <c r="O74" s="475"/>
      <c r="P74" s="257" t="str">
        <f>IF(ISBLANK(A74),"",VLOOKUP(B74,Ceilings!$A$4:$F$203,6,0))</f>
        <v/>
      </c>
      <c r="Q74" s="183" t="str">
        <f t="shared" si="11"/>
        <v/>
      </c>
    </row>
    <row r="75" spans="1:17">
      <c r="A75" s="506"/>
      <c r="B75" s="255" t="str">
        <f>IF(ISBLANK(A75),"",VLOOKUP(A75,Management!$A$11:$C$25,2,0))</f>
        <v/>
      </c>
      <c r="C75" s="473"/>
      <c r="D75" s="465" t="str">
        <f t="shared" si="6"/>
        <v/>
      </c>
      <c r="E75" s="256" t="str">
        <f t="shared" si="7"/>
        <v/>
      </c>
      <c r="F75" s="474"/>
      <c r="G75" s="257" t="str">
        <f>IF(ISBLANK(A75),"",VLOOKUP(B75,Ceilings!$A$4:$F$203,3,0))</f>
        <v/>
      </c>
      <c r="H75" s="257" t="str">
        <f t="shared" si="8"/>
        <v/>
      </c>
      <c r="I75" s="475"/>
      <c r="J75" s="257" t="str">
        <f>IF(ISBLANK(A75),"",VLOOKUP(B75,Ceilings!$A$4:$F$203,4,0))</f>
        <v/>
      </c>
      <c r="K75" s="257" t="str">
        <f t="shared" si="9"/>
        <v/>
      </c>
      <c r="L75" s="475"/>
      <c r="M75" s="257" t="str">
        <f>IF(ISBLANK(A75),"",VLOOKUP(B75,Ceilings!$A$4:$F$203,5,0))</f>
        <v/>
      </c>
      <c r="N75" s="257" t="str">
        <f t="shared" si="10"/>
        <v/>
      </c>
      <c r="O75" s="475"/>
      <c r="P75" s="257" t="str">
        <f>IF(ISBLANK(A75),"",VLOOKUP(B75,Ceilings!$A$4:$F$203,6,0))</f>
        <v/>
      </c>
      <c r="Q75" s="183" t="str">
        <f t="shared" si="11"/>
        <v/>
      </c>
    </row>
    <row r="76" spans="1:17">
      <c r="A76" s="506"/>
      <c r="B76" s="255" t="str">
        <f>IF(ISBLANK(A76),"",VLOOKUP(A76,Management!$A$11:$C$25,2,0))</f>
        <v/>
      </c>
      <c r="C76" s="473"/>
      <c r="D76" s="465" t="str">
        <f t="shared" si="6"/>
        <v/>
      </c>
      <c r="E76" s="256" t="str">
        <f t="shared" si="7"/>
        <v/>
      </c>
      <c r="F76" s="474"/>
      <c r="G76" s="257" t="str">
        <f>IF(ISBLANK(A76),"",VLOOKUP(B76,Ceilings!$A$4:$F$203,3,0))</f>
        <v/>
      </c>
      <c r="H76" s="257" t="str">
        <f t="shared" si="8"/>
        <v/>
      </c>
      <c r="I76" s="475"/>
      <c r="J76" s="257" t="str">
        <f>IF(ISBLANK(A76),"",VLOOKUP(B76,Ceilings!$A$4:$F$203,4,0))</f>
        <v/>
      </c>
      <c r="K76" s="257" t="str">
        <f t="shared" si="9"/>
        <v/>
      </c>
      <c r="L76" s="475"/>
      <c r="M76" s="257" t="str">
        <f>IF(ISBLANK(A76),"",VLOOKUP(B76,Ceilings!$A$4:$F$203,5,0))</f>
        <v/>
      </c>
      <c r="N76" s="257" t="str">
        <f t="shared" si="10"/>
        <v/>
      </c>
      <c r="O76" s="475"/>
      <c r="P76" s="257" t="str">
        <f>IF(ISBLANK(A76),"",VLOOKUP(B76,Ceilings!$A$4:$F$203,6,0))</f>
        <v/>
      </c>
      <c r="Q76" s="183" t="str">
        <f t="shared" si="11"/>
        <v/>
      </c>
    </row>
    <row r="77" spans="1:17">
      <c r="A77" s="506"/>
      <c r="B77" s="255" t="str">
        <f>IF(ISBLANK(A77),"",VLOOKUP(A77,Management!$A$11:$C$25,2,0))</f>
        <v/>
      </c>
      <c r="C77" s="473"/>
      <c r="D77" s="465" t="str">
        <f t="shared" si="6"/>
        <v/>
      </c>
      <c r="E77" s="256" t="str">
        <f t="shared" si="7"/>
        <v/>
      </c>
      <c r="F77" s="474"/>
      <c r="G77" s="257" t="str">
        <f>IF(ISBLANK(A77),"",VLOOKUP(B77,Ceilings!$A$4:$F$203,3,0))</f>
        <v/>
      </c>
      <c r="H77" s="257" t="str">
        <f t="shared" si="8"/>
        <v/>
      </c>
      <c r="I77" s="475"/>
      <c r="J77" s="257" t="str">
        <f>IF(ISBLANK(A77),"",VLOOKUP(B77,Ceilings!$A$4:$F$203,4,0))</f>
        <v/>
      </c>
      <c r="K77" s="257" t="str">
        <f t="shared" si="9"/>
        <v/>
      </c>
      <c r="L77" s="475"/>
      <c r="M77" s="257" t="str">
        <f>IF(ISBLANK(A77),"",VLOOKUP(B77,Ceilings!$A$4:$F$203,5,0))</f>
        <v/>
      </c>
      <c r="N77" s="257" t="str">
        <f t="shared" si="10"/>
        <v/>
      </c>
      <c r="O77" s="475"/>
      <c r="P77" s="257" t="str">
        <f>IF(ISBLANK(A77),"",VLOOKUP(B77,Ceilings!$A$4:$F$203,6,0))</f>
        <v/>
      </c>
      <c r="Q77" s="183" t="str">
        <f t="shared" si="11"/>
        <v/>
      </c>
    </row>
    <row r="78" spans="1:17">
      <c r="A78" s="506"/>
      <c r="B78" s="255" t="str">
        <f>IF(ISBLANK(A78),"",VLOOKUP(A78,Management!$A$11:$C$25,2,0))</f>
        <v/>
      </c>
      <c r="C78" s="473"/>
      <c r="D78" s="465" t="str">
        <f t="shared" si="6"/>
        <v/>
      </c>
      <c r="E78" s="256" t="str">
        <f t="shared" si="7"/>
        <v/>
      </c>
      <c r="F78" s="474"/>
      <c r="G78" s="257" t="str">
        <f>IF(ISBLANK(A78),"",VLOOKUP(B78,Ceilings!$A$4:$F$203,3,0))</f>
        <v/>
      </c>
      <c r="H78" s="257" t="str">
        <f t="shared" si="8"/>
        <v/>
      </c>
      <c r="I78" s="475"/>
      <c r="J78" s="257" t="str">
        <f>IF(ISBLANK(A78),"",VLOOKUP(B78,Ceilings!$A$4:$F$203,4,0))</f>
        <v/>
      </c>
      <c r="K78" s="257" t="str">
        <f t="shared" si="9"/>
        <v/>
      </c>
      <c r="L78" s="475"/>
      <c r="M78" s="257" t="str">
        <f>IF(ISBLANK(A78),"",VLOOKUP(B78,Ceilings!$A$4:$F$203,5,0))</f>
        <v/>
      </c>
      <c r="N78" s="257" t="str">
        <f t="shared" si="10"/>
        <v/>
      </c>
      <c r="O78" s="475"/>
      <c r="P78" s="257" t="str">
        <f>IF(ISBLANK(A78),"",VLOOKUP(B78,Ceilings!$A$4:$F$203,6,0))</f>
        <v/>
      </c>
      <c r="Q78" s="183" t="str">
        <f t="shared" si="11"/>
        <v/>
      </c>
    </row>
    <row r="79" spans="1:17">
      <c r="A79" s="506"/>
      <c r="B79" s="255" t="str">
        <f>IF(ISBLANK(A79),"",VLOOKUP(A79,Management!$A$11:$C$25,2,0))</f>
        <v/>
      </c>
      <c r="C79" s="473"/>
      <c r="D79" s="465" t="str">
        <f t="shared" si="6"/>
        <v/>
      </c>
      <c r="E79" s="256" t="str">
        <f t="shared" si="7"/>
        <v/>
      </c>
      <c r="F79" s="474"/>
      <c r="G79" s="257" t="str">
        <f>IF(ISBLANK(A79),"",VLOOKUP(B79,Ceilings!$A$4:$F$203,3,0))</f>
        <v/>
      </c>
      <c r="H79" s="257" t="str">
        <f t="shared" si="8"/>
        <v/>
      </c>
      <c r="I79" s="475"/>
      <c r="J79" s="257" t="str">
        <f>IF(ISBLANK(A79),"",VLOOKUP(B79,Ceilings!$A$4:$F$203,4,0))</f>
        <v/>
      </c>
      <c r="K79" s="257" t="str">
        <f t="shared" si="9"/>
        <v/>
      </c>
      <c r="L79" s="475"/>
      <c r="M79" s="257" t="str">
        <f>IF(ISBLANK(A79),"",VLOOKUP(B79,Ceilings!$A$4:$F$203,5,0))</f>
        <v/>
      </c>
      <c r="N79" s="257" t="str">
        <f t="shared" si="10"/>
        <v/>
      </c>
      <c r="O79" s="475"/>
      <c r="P79" s="257" t="str">
        <f>IF(ISBLANK(A79),"",VLOOKUP(B79,Ceilings!$A$4:$F$203,6,0))</f>
        <v/>
      </c>
      <c r="Q79" s="183" t="str">
        <f t="shared" si="11"/>
        <v/>
      </c>
    </row>
    <row r="80" spans="1:17">
      <c r="A80" s="506"/>
      <c r="B80" s="255" t="str">
        <f>IF(ISBLANK(A80),"",VLOOKUP(A80,Management!$A$11:$C$25,2,0))</f>
        <v/>
      </c>
      <c r="C80" s="473"/>
      <c r="D80" s="465" t="str">
        <f t="shared" si="6"/>
        <v/>
      </c>
      <c r="E80" s="256" t="str">
        <f t="shared" si="7"/>
        <v/>
      </c>
      <c r="F80" s="474"/>
      <c r="G80" s="257" t="str">
        <f>IF(ISBLANK(A80),"",VLOOKUP(B80,Ceilings!$A$4:$F$203,3,0))</f>
        <v/>
      </c>
      <c r="H80" s="257" t="str">
        <f t="shared" si="8"/>
        <v/>
      </c>
      <c r="I80" s="475"/>
      <c r="J80" s="257" t="str">
        <f>IF(ISBLANK(A80),"",VLOOKUP(B80,Ceilings!$A$4:$F$203,4,0))</f>
        <v/>
      </c>
      <c r="K80" s="257" t="str">
        <f t="shared" si="9"/>
        <v/>
      </c>
      <c r="L80" s="475"/>
      <c r="M80" s="257" t="str">
        <f>IF(ISBLANK(A80),"",VLOOKUP(B80,Ceilings!$A$4:$F$203,5,0))</f>
        <v/>
      </c>
      <c r="N80" s="257" t="str">
        <f t="shared" si="10"/>
        <v/>
      </c>
      <c r="O80" s="475"/>
      <c r="P80" s="257" t="str">
        <f>IF(ISBLANK(A80),"",VLOOKUP(B80,Ceilings!$A$4:$F$203,6,0))</f>
        <v/>
      </c>
      <c r="Q80" s="183" t="str">
        <f t="shared" si="11"/>
        <v/>
      </c>
    </row>
    <row r="81" spans="1:17">
      <c r="A81" s="506"/>
      <c r="B81" s="255" t="str">
        <f>IF(ISBLANK(A81),"",VLOOKUP(A81,Management!$A$11:$C$25,2,0))</f>
        <v/>
      </c>
      <c r="C81" s="473"/>
      <c r="D81" s="465" t="str">
        <f t="shared" si="6"/>
        <v/>
      </c>
      <c r="E81" s="256" t="str">
        <f t="shared" si="7"/>
        <v/>
      </c>
      <c r="F81" s="474"/>
      <c r="G81" s="257" t="str">
        <f>IF(ISBLANK(A81),"",VLOOKUP(B81,Ceilings!$A$4:$F$203,3,0))</f>
        <v/>
      </c>
      <c r="H81" s="257" t="str">
        <f t="shared" si="8"/>
        <v/>
      </c>
      <c r="I81" s="475"/>
      <c r="J81" s="257" t="str">
        <f>IF(ISBLANK(A81),"",VLOOKUP(B81,Ceilings!$A$4:$F$203,4,0))</f>
        <v/>
      </c>
      <c r="K81" s="257" t="str">
        <f t="shared" si="9"/>
        <v/>
      </c>
      <c r="L81" s="475"/>
      <c r="M81" s="257" t="str">
        <f>IF(ISBLANK(A81),"",VLOOKUP(B81,Ceilings!$A$4:$F$203,5,0))</f>
        <v/>
      </c>
      <c r="N81" s="257" t="str">
        <f t="shared" si="10"/>
        <v/>
      </c>
      <c r="O81" s="475"/>
      <c r="P81" s="257" t="str">
        <f>IF(ISBLANK(A81),"",VLOOKUP(B81,Ceilings!$A$4:$F$203,6,0))</f>
        <v/>
      </c>
      <c r="Q81" s="183" t="str">
        <f t="shared" si="11"/>
        <v/>
      </c>
    </row>
    <row r="82" spans="1:17">
      <c r="A82" s="506"/>
      <c r="B82" s="255" t="str">
        <f>IF(ISBLANK(A82),"",VLOOKUP(A82,Management!$A$11:$C$25,2,0))</f>
        <v/>
      </c>
      <c r="C82" s="473"/>
      <c r="D82" s="465" t="str">
        <f t="shared" si="6"/>
        <v/>
      </c>
      <c r="E82" s="256" t="str">
        <f t="shared" si="7"/>
        <v/>
      </c>
      <c r="F82" s="474"/>
      <c r="G82" s="257" t="str">
        <f>IF(ISBLANK(A82),"",VLOOKUP(B82,Ceilings!$A$4:$F$203,3,0))</f>
        <v/>
      </c>
      <c r="H82" s="257" t="str">
        <f t="shared" si="8"/>
        <v/>
      </c>
      <c r="I82" s="475"/>
      <c r="J82" s="257" t="str">
        <f>IF(ISBLANK(A82),"",VLOOKUP(B82,Ceilings!$A$4:$F$203,4,0))</f>
        <v/>
      </c>
      <c r="K82" s="257" t="str">
        <f t="shared" si="9"/>
        <v/>
      </c>
      <c r="L82" s="475"/>
      <c r="M82" s="257" t="str">
        <f>IF(ISBLANK(A82),"",VLOOKUP(B82,Ceilings!$A$4:$F$203,5,0))</f>
        <v/>
      </c>
      <c r="N82" s="257" t="str">
        <f t="shared" si="10"/>
        <v/>
      </c>
      <c r="O82" s="475"/>
      <c r="P82" s="257" t="str">
        <f>IF(ISBLANK(A82),"",VLOOKUP(B82,Ceilings!$A$4:$F$203,6,0))</f>
        <v/>
      </c>
      <c r="Q82" s="183" t="str">
        <f t="shared" si="11"/>
        <v/>
      </c>
    </row>
    <row r="83" spans="1:17">
      <c r="A83" s="506"/>
      <c r="B83" s="255" t="str">
        <f>IF(ISBLANK(A83),"",VLOOKUP(A83,Management!$A$11:$C$25,2,0))</f>
        <v/>
      </c>
      <c r="C83" s="473"/>
      <c r="D83" s="465" t="str">
        <f t="shared" si="6"/>
        <v/>
      </c>
      <c r="E83" s="256" t="str">
        <f t="shared" si="7"/>
        <v/>
      </c>
      <c r="F83" s="474"/>
      <c r="G83" s="257" t="str">
        <f>IF(ISBLANK(A83),"",VLOOKUP(B83,Ceilings!$A$4:$F$203,3,0))</f>
        <v/>
      </c>
      <c r="H83" s="257" t="str">
        <f t="shared" si="8"/>
        <v/>
      </c>
      <c r="I83" s="475"/>
      <c r="J83" s="257" t="str">
        <f>IF(ISBLANK(A83),"",VLOOKUP(B83,Ceilings!$A$4:$F$203,4,0))</f>
        <v/>
      </c>
      <c r="K83" s="257" t="str">
        <f t="shared" si="9"/>
        <v/>
      </c>
      <c r="L83" s="475"/>
      <c r="M83" s="257" t="str">
        <f>IF(ISBLANK(A83),"",VLOOKUP(B83,Ceilings!$A$4:$F$203,5,0))</f>
        <v/>
      </c>
      <c r="N83" s="257" t="str">
        <f t="shared" si="10"/>
        <v/>
      </c>
      <c r="O83" s="475"/>
      <c r="P83" s="257" t="str">
        <f>IF(ISBLANK(A83),"",VLOOKUP(B83,Ceilings!$A$4:$F$203,6,0))</f>
        <v/>
      </c>
      <c r="Q83" s="183" t="str">
        <f t="shared" si="11"/>
        <v/>
      </c>
    </row>
    <row r="84" spans="1:17">
      <c r="A84" s="506"/>
      <c r="B84" s="255" t="str">
        <f>IF(ISBLANK(A84),"",VLOOKUP(A84,Management!$A$11:$C$25,2,0))</f>
        <v/>
      </c>
      <c r="C84" s="473"/>
      <c r="D84" s="465" t="str">
        <f t="shared" si="6"/>
        <v/>
      </c>
      <c r="E84" s="256" t="str">
        <f t="shared" si="7"/>
        <v/>
      </c>
      <c r="F84" s="474"/>
      <c r="G84" s="257" t="str">
        <f>IF(ISBLANK(A84),"",VLOOKUP(B84,Ceilings!$A$4:$F$203,3,0))</f>
        <v/>
      </c>
      <c r="H84" s="257" t="str">
        <f t="shared" si="8"/>
        <v/>
      </c>
      <c r="I84" s="475"/>
      <c r="J84" s="257" t="str">
        <f>IF(ISBLANK(A84),"",VLOOKUP(B84,Ceilings!$A$4:$F$203,4,0))</f>
        <v/>
      </c>
      <c r="K84" s="257" t="str">
        <f t="shared" si="9"/>
        <v/>
      </c>
      <c r="L84" s="475"/>
      <c r="M84" s="257" t="str">
        <f>IF(ISBLANK(A84),"",VLOOKUP(B84,Ceilings!$A$4:$F$203,5,0))</f>
        <v/>
      </c>
      <c r="N84" s="257" t="str">
        <f t="shared" si="10"/>
        <v/>
      </c>
      <c r="O84" s="475"/>
      <c r="P84" s="257" t="str">
        <f>IF(ISBLANK(A84),"",VLOOKUP(B84,Ceilings!$A$4:$F$203,6,0))</f>
        <v/>
      </c>
      <c r="Q84" s="183" t="str">
        <f t="shared" si="11"/>
        <v/>
      </c>
    </row>
    <row r="85" spans="1:17">
      <c r="A85" s="506"/>
      <c r="B85" s="255" t="str">
        <f>IF(ISBLANK(A85),"",VLOOKUP(A85,Management!$A$11:$C$25,2,0))</f>
        <v/>
      </c>
      <c r="C85" s="473"/>
      <c r="D85" s="465" t="str">
        <f t="shared" si="6"/>
        <v/>
      </c>
      <c r="E85" s="256" t="str">
        <f t="shared" si="7"/>
        <v/>
      </c>
      <c r="F85" s="474"/>
      <c r="G85" s="257" t="str">
        <f>IF(ISBLANK(A85),"",VLOOKUP(B85,Ceilings!$A$4:$F$203,3,0))</f>
        <v/>
      </c>
      <c r="H85" s="257" t="str">
        <f t="shared" si="8"/>
        <v/>
      </c>
      <c r="I85" s="475"/>
      <c r="J85" s="257" t="str">
        <f>IF(ISBLANK(A85),"",VLOOKUP(B85,Ceilings!$A$4:$F$203,4,0))</f>
        <v/>
      </c>
      <c r="K85" s="257" t="str">
        <f t="shared" si="9"/>
        <v/>
      </c>
      <c r="L85" s="475"/>
      <c r="M85" s="257" t="str">
        <f>IF(ISBLANK(A85),"",VLOOKUP(B85,Ceilings!$A$4:$F$203,5,0))</f>
        <v/>
      </c>
      <c r="N85" s="257" t="str">
        <f t="shared" si="10"/>
        <v/>
      </c>
      <c r="O85" s="475"/>
      <c r="P85" s="257" t="str">
        <f>IF(ISBLANK(A85),"",VLOOKUP(B85,Ceilings!$A$4:$F$203,6,0))</f>
        <v/>
      </c>
      <c r="Q85" s="183" t="str">
        <f t="shared" si="11"/>
        <v/>
      </c>
    </row>
    <row r="86" spans="1:17">
      <c r="A86" s="506"/>
      <c r="B86" s="255" t="str">
        <f>IF(ISBLANK(A86),"",VLOOKUP(A86,Management!$A$11:$C$25,2,0))</f>
        <v/>
      </c>
      <c r="C86" s="473"/>
      <c r="D86" s="465" t="str">
        <f t="shared" si="6"/>
        <v/>
      </c>
      <c r="E86" s="256" t="str">
        <f t="shared" si="7"/>
        <v/>
      </c>
      <c r="F86" s="474"/>
      <c r="G86" s="257" t="str">
        <f>IF(ISBLANK(A86),"",VLOOKUP(B86,Ceilings!$A$4:$F$203,3,0))</f>
        <v/>
      </c>
      <c r="H86" s="257" t="str">
        <f t="shared" si="8"/>
        <v/>
      </c>
      <c r="I86" s="475"/>
      <c r="J86" s="257" t="str">
        <f>IF(ISBLANK(A86),"",VLOOKUP(B86,Ceilings!$A$4:$F$203,4,0))</f>
        <v/>
      </c>
      <c r="K86" s="257" t="str">
        <f t="shared" si="9"/>
        <v/>
      </c>
      <c r="L86" s="475"/>
      <c r="M86" s="257" t="str">
        <f>IF(ISBLANK(A86),"",VLOOKUP(B86,Ceilings!$A$4:$F$203,5,0))</f>
        <v/>
      </c>
      <c r="N86" s="257" t="str">
        <f t="shared" si="10"/>
        <v/>
      </c>
      <c r="O86" s="475"/>
      <c r="P86" s="257" t="str">
        <f>IF(ISBLANK(A86),"",VLOOKUP(B86,Ceilings!$A$4:$F$203,6,0))</f>
        <v/>
      </c>
      <c r="Q86" s="183" t="str">
        <f t="shared" si="11"/>
        <v/>
      </c>
    </row>
    <row r="87" spans="1:17">
      <c r="A87" s="506"/>
      <c r="B87" s="255" t="str">
        <f>IF(ISBLANK(A87),"",VLOOKUP(A87,Management!$A$11:$C$25,2,0))</f>
        <v/>
      </c>
      <c r="C87" s="473"/>
      <c r="D87" s="465" t="str">
        <f t="shared" si="6"/>
        <v/>
      </c>
      <c r="E87" s="256" t="str">
        <f t="shared" si="7"/>
        <v/>
      </c>
      <c r="F87" s="474"/>
      <c r="G87" s="257" t="str">
        <f>IF(ISBLANK(A87),"",VLOOKUP(B87,Ceilings!$A$4:$F$203,3,0))</f>
        <v/>
      </c>
      <c r="H87" s="257" t="str">
        <f t="shared" si="8"/>
        <v/>
      </c>
      <c r="I87" s="475"/>
      <c r="J87" s="257" t="str">
        <f>IF(ISBLANK(A87),"",VLOOKUP(B87,Ceilings!$A$4:$F$203,4,0))</f>
        <v/>
      </c>
      <c r="K87" s="257" t="str">
        <f t="shared" si="9"/>
        <v/>
      </c>
      <c r="L87" s="475"/>
      <c r="M87" s="257" t="str">
        <f>IF(ISBLANK(A87),"",VLOOKUP(B87,Ceilings!$A$4:$F$203,5,0))</f>
        <v/>
      </c>
      <c r="N87" s="257" t="str">
        <f t="shared" si="10"/>
        <v/>
      </c>
      <c r="O87" s="475"/>
      <c r="P87" s="257" t="str">
        <f>IF(ISBLANK(A87),"",VLOOKUP(B87,Ceilings!$A$4:$F$203,6,0))</f>
        <v/>
      </c>
      <c r="Q87" s="183" t="str">
        <f t="shared" si="11"/>
        <v/>
      </c>
    </row>
    <row r="88" spans="1:17">
      <c r="A88" s="506"/>
      <c r="B88" s="255" t="str">
        <f>IF(ISBLANK(A88),"",VLOOKUP(A88,Management!$A$11:$C$25,2,0))</f>
        <v/>
      </c>
      <c r="C88" s="473"/>
      <c r="D88" s="465" t="str">
        <f t="shared" si="6"/>
        <v/>
      </c>
      <c r="E88" s="256" t="str">
        <f t="shared" si="7"/>
        <v/>
      </c>
      <c r="F88" s="474"/>
      <c r="G88" s="257" t="str">
        <f>IF(ISBLANK(A88),"",VLOOKUP(B88,Ceilings!$A$4:$F$203,3,0))</f>
        <v/>
      </c>
      <c r="H88" s="257" t="str">
        <f t="shared" si="8"/>
        <v/>
      </c>
      <c r="I88" s="475"/>
      <c r="J88" s="257" t="str">
        <f>IF(ISBLANK(A88),"",VLOOKUP(B88,Ceilings!$A$4:$F$203,4,0))</f>
        <v/>
      </c>
      <c r="K88" s="257" t="str">
        <f t="shared" si="9"/>
        <v/>
      </c>
      <c r="L88" s="475"/>
      <c r="M88" s="257" t="str">
        <f>IF(ISBLANK(A88),"",VLOOKUP(B88,Ceilings!$A$4:$F$203,5,0))</f>
        <v/>
      </c>
      <c r="N88" s="257" t="str">
        <f t="shared" si="10"/>
        <v/>
      </c>
      <c r="O88" s="475"/>
      <c r="P88" s="257" t="str">
        <f>IF(ISBLANK(A88),"",VLOOKUP(B88,Ceilings!$A$4:$F$203,6,0))</f>
        <v/>
      </c>
      <c r="Q88" s="183" t="str">
        <f t="shared" si="11"/>
        <v/>
      </c>
    </row>
    <row r="89" spans="1:17">
      <c r="A89" s="506"/>
      <c r="B89" s="255" t="str">
        <f>IF(ISBLANK(A89),"",VLOOKUP(A89,Management!$A$11:$C$25,2,0))</f>
        <v/>
      </c>
      <c r="C89" s="473"/>
      <c r="D89" s="465" t="str">
        <f t="shared" si="6"/>
        <v/>
      </c>
      <c r="E89" s="256" t="str">
        <f t="shared" si="7"/>
        <v/>
      </c>
      <c r="F89" s="474"/>
      <c r="G89" s="257" t="str">
        <f>IF(ISBLANK(A89),"",VLOOKUP(B89,Ceilings!$A$4:$F$203,3,0))</f>
        <v/>
      </c>
      <c r="H89" s="257" t="str">
        <f t="shared" si="8"/>
        <v/>
      </c>
      <c r="I89" s="475"/>
      <c r="J89" s="257" t="str">
        <f>IF(ISBLANK(A89),"",VLOOKUP(B89,Ceilings!$A$4:$F$203,4,0))</f>
        <v/>
      </c>
      <c r="K89" s="257" t="str">
        <f t="shared" si="9"/>
        <v/>
      </c>
      <c r="L89" s="475"/>
      <c r="M89" s="257" t="str">
        <f>IF(ISBLANK(A89),"",VLOOKUP(B89,Ceilings!$A$4:$F$203,5,0))</f>
        <v/>
      </c>
      <c r="N89" s="257" t="str">
        <f t="shared" si="10"/>
        <v/>
      </c>
      <c r="O89" s="475"/>
      <c r="P89" s="257" t="str">
        <f>IF(ISBLANK(A89),"",VLOOKUP(B89,Ceilings!$A$4:$F$203,6,0))</f>
        <v/>
      </c>
      <c r="Q89" s="183" t="str">
        <f t="shared" si="11"/>
        <v/>
      </c>
    </row>
    <row r="90" spans="1:17">
      <c r="A90" s="506"/>
      <c r="B90" s="255" t="str">
        <f>IF(ISBLANK(A90),"",VLOOKUP(A90,Management!$A$11:$C$25,2,0))</f>
        <v/>
      </c>
      <c r="C90" s="473"/>
      <c r="D90" s="465" t="str">
        <f t="shared" si="6"/>
        <v/>
      </c>
      <c r="E90" s="256" t="str">
        <f t="shared" si="7"/>
        <v/>
      </c>
      <c r="F90" s="474"/>
      <c r="G90" s="257" t="str">
        <f>IF(ISBLANK(A90),"",VLOOKUP(B90,Ceilings!$A$4:$F$203,3,0))</f>
        <v/>
      </c>
      <c r="H90" s="257" t="str">
        <f t="shared" si="8"/>
        <v/>
      </c>
      <c r="I90" s="475"/>
      <c r="J90" s="257" t="str">
        <f>IF(ISBLANK(A90),"",VLOOKUP(B90,Ceilings!$A$4:$F$203,4,0))</f>
        <v/>
      </c>
      <c r="K90" s="257" t="str">
        <f t="shared" si="9"/>
        <v/>
      </c>
      <c r="L90" s="475"/>
      <c r="M90" s="257" t="str">
        <f>IF(ISBLANK(A90),"",VLOOKUP(B90,Ceilings!$A$4:$F$203,5,0))</f>
        <v/>
      </c>
      <c r="N90" s="257" t="str">
        <f t="shared" si="10"/>
        <v/>
      </c>
      <c r="O90" s="475"/>
      <c r="P90" s="257" t="str">
        <f>IF(ISBLANK(A90),"",VLOOKUP(B90,Ceilings!$A$4:$F$203,6,0))</f>
        <v/>
      </c>
      <c r="Q90" s="183" t="str">
        <f t="shared" si="11"/>
        <v/>
      </c>
    </row>
    <row r="91" spans="1:17">
      <c r="A91" s="506"/>
      <c r="B91" s="255" t="str">
        <f>IF(ISBLANK(A91),"",VLOOKUP(A91,Management!$A$11:$C$25,2,0))</f>
        <v/>
      </c>
      <c r="C91" s="473"/>
      <c r="D91" s="465" t="str">
        <f t="shared" si="6"/>
        <v/>
      </c>
      <c r="E91" s="256" t="str">
        <f t="shared" si="7"/>
        <v/>
      </c>
      <c r="F91" s="474"/>
      <c r="G91" s="257" t="str">
        <f>IF(ISBLANK(A91),"",VLOOKUP(B91,Ceilings!$A$4:$F$203,3,0))</f>
        <v/>
      </c>
      <c r="H91" s="257" t="str">
        <f t="shared" si="8"/>
        <v/>
      </c>
      <c r="I91" s="475"/>
      <c r="J91" s="257" t="str">
        <f>IF(ISBLANK(A91),"",VLOOKUP(B91,Ceilings!$A$4:$F$203,4,0))</f>
        <v/>
      </c>
      <c r="K91" s="257" t="str">
        <f t="shared" si="9"/>
        <v/>
      </c>
      <c r="L91" s="475"/>
      <c r="M91" s="257" t="str">
        <f>IF(ISBLANK(A91),"",VLOOKUP(B91,Ceilings!$A$4:$F$203,5,0))</f>
        <v/>
      </c>
      <c r="N91" s="257" t="str">
        <f t="shared" si="10"/>
        <v/>
      </c>
      <c r="O91" s="475"/>
      <c r="P91" s="257" t="str">
        <f>IF(ISBLANK(A91),"",VLOOKUP(B91,Ceilings!$A$4:$F$203,6,0))</f>
        <v/>
      </c>
      <c r="Q91" s="183" t="str">
        <f t="shared" si="11"/>
        <v/>
      </c>
    </row>
    <row r="92" spans="1:17">
      <c r="A92" s="506"/>
      <c r="B92" s="255" t="str">
        <f>IF(ISBLANK(A92),"",VLOOKUP(A92,Management!$A$11:$C$25,2,0))</f>
        <v/>
      </c>
      <c r="C92" s="473"/>
      <c r="D92" s="465" t="str">
        <f t="shared" si="6"/>
        <v/>
      </c>
      <c r="E92" s="256" t="str">
        <f t="shared" si="7"/>
        <v/>
      </c>
      <c r="F92" s="474"/>
      <c r="G92" s="257" t="str">
        <f>IF(ISBLANK(A92),"",VLOOKUP(B92,Ceilings!$A$4:$F$203,3,0))</f>
        <v/>
      </c>
      <c r="H92" s="257" t="str">
        <f t="shared" si="8"/>
        <v/>
      </c>
      <c r="I92" s="475"/>
      <c r="J92" s="257" t="str">
        <f>IF(ISBLANK(A92),"",VLOOKUP(B92,Ceilings!$A$4:$F$203,4,0))</f>
        <v/>
      </c>
      <c r="K92" s="257" t="str">
        <f t="shared" si="9"/>
        <v/>
      </c>
      <c r="L92" s="475"/>
      <c r="M92" s="257" t="str">
        <f>IF(ISBLANK(A92),"",VLOOKUP(B92,Ceilings!$A$4:$F$203,5,0))</f>
        <v/>
      </c>
      <c r="N92" s="257" t="str">
        <f t="shared" si="10"/>
        <v/>
      </c>
      <c r="O92" s="475"/>
      <c r="P92" s="257" t="str">
        <f>IF(ISBLANK(A92),"",VLOOKUP(B92,Ceilings!$A$4:$F$203,6,0))</f>
        <v/>
      </c>
      <c r="Q92" s="183" t="str">
        <f t="shared" si="11"/>
        <v/>
      </c>
    </row>
    <row r="93" spans="1:17">
      <c r="A93" s="506"/>
      <c r="B93" s="255" t="str">
        <f>IF(ISBLANK(A93),"",VLOOKUP(A93,Management!$A$11:$C$25,2,0))</f>
        <v/>
      </c>
      <c r="C93" s="473"/>
      <c r="D93" s="465" t="str">
        <f t="shared" si="6"/>
        <v/>
      </c>
      <c r="E93" s="256" t="str">
        <f t="shared" si="7"/>
        <v/>
      </c>
      <c r="F93" s="474"/>
      <c r="G93" s="257" t="str">
        <f>IF(ISBLANK(A93),"",VLOOKUP(B93,Ceilings!$A$4:$F$203,3,0))</f>
        <v/>
      </c>
      <c r="H93" s="257" t="str">
        <f t="shared" si="8"/>
        <v/>
      </c>
      <c r="I93" s="475"/>
      <c r="J93" s="257" t="str">
        <f>IF(ISBLANK(A93),"",VLOOKUP(B93,Ceilings!$A$4:$F$203,4,0))</f>
        <v/>
      </c>
      <c r="K93" s="257" t="str">
        <f t="shared" si="9"/>
        <v/>
      </c>
      <c r="L93" s="475"/>
      <c r="M93" s="257" t="str">
        <f>IF(ISBLANK(A93),"",VLOOKUP(B93,Ceilings!$A$4:$F$203,5,0))</f>
        <v/>
      </c>
      <c r="N93" s="257" t="str">
        <f t="shared" si="10"/>
        <v/>
      </c>
      <c r="O93" s="475"/>
      <c r="P93" s="257" t="str">
        <f>IF(ISBLANK(A93),"",VLOOKUP(B93,Ceilings!$A$4:$F$203,6,0))</f>
        <v/>
      </c>
      <c r="Q93" s="183" t="str">
        <f t="shared" si="11"/>
        <v/>
      </c>
    </row>
    <row r="94" spans="1:17">
      <c r="A94" s="506"/>
      <c r="B94" s="255" t="str">
        <f>IF(ISBLANK(A94),"",VLOOKUP(A94,Management!$A$11:$C$25,2,0))</f>
        <v/>
      </c>
      <c r="C94" s="473"/>
      <c r="D94" s="465" t="str">
        <f t="shared" si="6"/>
        <v/>
      </c>
      <c r="E94" s="256" t="str">
        <f t="shared" si="7"/>
        <v/>
      </c>
      <c r="F94" s="474"/>
      <c r="G94" s="257" t="str">
        <f>IF(ISBLANK(A94),"",VLOOKUP(B94,Ceilings!$A$4:$F$203,3,0))</f>
        <v/>
      </c>
      <c r="H94" s="257" t="str">
        <f t="shared" si="8"/>
        <v/>
      </c>
      <c r="I94" s="475"/>
      <c r="J94" s="257" t="str">
        <f>IF(ISBLANK(A94),"",VLOOKUP(B94,Ceilings!$A$4:$F$203,4,0))</f>
        <v/>
      </c>
      <c r="K94" s="257" t="str">
        <f t="shared" si="9"/>
        <v/>
      </c>
      <c r="L94" s="475"/>
      <c r="M94" s="257" t="str">
        <f>IF(ISBLANK(A94),"",VLOOKUP(B94,Ceilings!$A$4:$F$203,5,0))</f>
        <v/>
      </c>
      <c r="N94" s="257" t="str">
        <f t="shared" si="10"/>
        <v/>
      </c>
      <c r="O94" s="475"/>
      <c r="P94" s="257" t="str">
        <f>IF(ISBLANK(A94),"",VLOOKUP(B94,Ceilings!$A$4:$F$203,6,0))</f>
        <v/>
      </c>
      <c r="Q94" s="183" t="str">
        <f t="shared" si="11"/>
        <v/>
      </c>
    </row>
    <row r="95" spans="1:17">
      <c r="A95" s="506"/>
      <c r="B95" s="255" t="str">
        <f>IF(ISBLANK(A95),"",VLOOKUP(A95,Management!$A$11:$C$25,2,0))</f>
        <v/>
      </c>
      <c r="C95" s="473"/>
      <c r="D95" s="465" t="str">
        <f t="shared" si="6"/>
        <v/>
      </c>
      <c r="E95" s="256" t="str">
        <f t="shared" si="7"/>
        <v/>
      </c>
      <c r="F95" s="474"/>
      <c r="G95" s="257" t="str">
        <f>IF(ISBLANK(A95),"",VLOOKUP(B95,Ceilings!$A$4:$F$203,3,0))</f>
        <v/>
      </c>
      <c r="H95" s="257" t="str">
        <f t="shared" si="8"/>
        <v/>
      </c>
      <c r="I95" s="475"/>
      <c r="J95" s="257" t="str">
        <f>IF(ISBLANK(A95),"",VLOOKUP(B95,Ceilings!$A$4:$F$203,4,0))</f>
        <v/>
      </c>
      <c r="K95" s="257" t="str">
        <f t="shared" si="9"/>
        <v/>
      </c>
      <c r="L95" s="475"/>
      <c r="M95" s="257" t="str">
        <f>IF(ISBLANK(A95),"",VLOOKUP(B95,Ceilings!$A$4:$F$203,5,0))</f>
        <v/>
      </c>
      <c r="N95" s="257" t="str">
        <f t="shared" si="10"/>
        <v/>
      </c>
      <c r="O95" s="475"/>
      <c r="P95" s="257" t="str">
        <f>IF(ISBLANK(A95),"",VLOOKUP(B95,Ceilings!$A$4:$F$203,6,0))</f>
        <v/>
      </c>
      <c r="Q95" s="183" t="str">
        <f t="shared" si="11"/>
        <v/>
      </c>
    </row>
    <row r="96" spans="1:17">
      <c r="A96" s="506"/>
      <c r="B96" s="255" t="str">
        <f>IF(ISBLANK(A96),"",VLOOKUP(A96,Management!$A$11:$C$25,2,0))</f>
        <v/>
      </c>
      <c r="C96" s="473"/>
      <c r="D96" s="465" t="str">
        <f t="shared" si="6"/>
        <v/>
      </c>
      <c r="E96" s="256" t="str">
        <f t="shared" si="7"/>
        <v/>
      </c>
      <c r="F96" s="474"/>
      <c r="G96" s="257" t="str">
        <f>IF(ISBLANK(A96),"",VLOOKUP(B96,Ceilings!$A$4:$F$203,3,0))</f>
        <v/>
      </c>
      <c r="H96" s="257" t="str">
        <f t="shared" si="8"/>
        <v/>
      </c>
      <c r="I96" s="475"/>
      <c r="J96" s="257" t="str">
        <f>IF(ISBLANK(A96),"",VLOOKUP(B96,Ceilings!$A$4:$F$203,4,0))</f>
        <v/>
      </c>
      <c r="K96" s="257" t="str">
        <f t="shared" si="9"/>
        <v/>
      </c>
      <c r="L96" s="475"/>
      <c r="M96" s="257" t="str">
        <f>IF(ISBLANK(A96),"",VLOOKUP(B96,Ceilings!$A$4:$F$203,5,0))</f>
        <v/>
      </c>
      <c r="N96" s="257" t="str">
        <f t="shared" si="10"/>
        <v/>
      </c>
      <c r="O96" s="475"/>
      <c r="P96" s="257" t="str">
        <f>IF(ISBLANK(A96),"",VLOOKUP(B96,Ceilings!$A$4:$F$203,6,0))</f>
        <v/>
      </c>
      <c r="Q96" s="183" t="str">
        <f t="shared" si="11"/>
        <v/>
      </c>
    </row>
    <row r="97" spans="1:17">
      <c r="A97" s="506"/>
      <c r="B97" s="255" t="str">
        <f>IF(ISBLANK(A97),"",VLOOKUP(A97,Management!$A$11:$C$25,2,0))</f>
        <v/>
      </c>
      <c r="C97" s="473"/>
      <c r="D97" s="465" t="str">
        <f t="shared" si="6"/>
        <v/>
      </c>
      <c r="E97" s="256" t="str">
        <f t="shared" si="7"/>
        <v/>
      </c>
      <c r="F97" s="474"/>
      <c r="G97" s="257" t="str">
        <f>IF(ISBLANK(A97),"",VLOOKUP(B97,Ceilings!$A$4:$F$203,3,0))</f>
        <v/>
      </c>
      <c r="H97" s="257" t="str">
        <f t="shared" si="8"/>
        <v/>
      </c>
      <c r="I97" s="475"/>
      <c r="J97" s="257" t="str">
        <f>IF(ISBLANK(A97),"",VLOOKUP(B97,Ceilings!$A$4:$F$203,4,0))</f>
        <v/>
      </c>
      <c r="K97" s="257" t="str">
        <f t="shared" si="9"/>
        <v/>
      </c>
      <c r="L97" s="475"/>
      <c r="M97" s="257" t="str">
        <f>IF(ISBLANK(A97),"",VLOOKUP(B97,Ceilings!$A$4:$F$203,5,0))</f>
        <v/>
      </c>
      <c r="N97" s="257" t="str">
        <f t="shared" si="10"/>
        <v/>
      </c>
      <c r="O97" s="475"/>
      <c r="P97" s="257" t="str">
        <f>IF(ISBLANK(A97),"",VLOOKUP(B97,Ceilings!$A$4:$F$203,6,0))</f>
        <v/>
      </c>
      <c r="Q97" s="183" t="str">
        <f t="shared" si="11"/>
        <v/>
      </c>
    </row>
    <row r="98" spans="1:17">
      <c r="A98" s="506"/>
      <c r="B98" s="255" t="str">
        <f>IF(ISBLANK(A98),"",VLOOKUP(A98,Management!$A$11:$C$25,2,0))</f>
        <v/>
      </c>
      <c r="C98" s="473"/>
      <c r="D98" s="465" t="str">
        <f t="shared" si="6"/>
        <v/>
      </c>
      <c r="E98" s="256" t="str">
        <f t="shared" si="7"/>
        <v/>
      </c>
      <c r="F98" s="474"/>
      <c r="G98" s="257" t="str">
        <f>IF(ISBLANK(A98),"",VLOOKUP(B98,Ceilings!$A$4:$F$203,3,0))</f>
        <v/>
      </c>
      <c r="H98" s="257" t="str">
        <f t="shared" si="8"/>
        <v/>
      </c>
      <c r="I98" s="475"/>
      <c r="J98" s="257" t="str">
        <f>IF(ISBLANK(A98),"",VLOOKUP(B98,Ceilings!$A$4:$F$203,4,0))</f>
        <v/>
      </c>
      <c r="K98" s="257" t="str">
        <f t="shared" si="9"/>
        <v/>
      </c>
      <c r="L98" s="475"/>
      <c r="M98" s="257" t="str">
        <f>IF(ISBLANK(A98),"",VLOOKUP(B98,Ceilings!$A$4:$F$203,5,0))</f>
        <v/>
      </c>
      <c r="N98" s="257" t="str">
        <f t="shared" si="10"/>
        <v/>
      </c>
      <c r="O98" s="475"/>
      <c r="P98" s="257" t="str">
        <f>IF(ISBLANK(A98),"",VLOOKUP(B98,Ceilings!$A$4:$F$203,6,0))</f>
        <v/>
      </c>
      <c r="Q98" s="183" t="str">
        <f t="shared" si="11"/>
        <v/>
      </c>
    </row>
    <row r="99" spans="1:17">
      <c r="A99" s="506"/>
      <c r="B99" s="255" t="str">
        <f>IF(ISBLANK(A99),"",VLOOKUP(A99,Management!$A$11:$C$25,2,0))</f>
        <v/>
      </c>
      <c r="C99" s="473"/>
      <c r="D99" s="465" t="str">
        <f t="shared" si="6"/>
        <v/>
      </c>
      <c r="E99" s="256" t="str">
        <f t="shared" si="7"/>
        <v/>
      </c>
      <c r="F99" s="474"/>
      <c r="G99" s="257" t="str">
        <f>IF(ISBLANK(A99),"",VLOOKUP(B99,Ceilings!$A$4:$F$203,3,0))</f>
        <v/>
      </c>
      <c r="H99" s="257" t="str">
        <f t="shared" si="8"/>
        <v/>
      </c>
      <c r="I99" s="475"/>
      <c r="J99" s="257" t="str">
        <f>IF(ISBLANK(A99),"",VLOOKUP(B99,Ceilings!$A$4:$F$203,4,0))</f>
        <v/>
      </c>
      <c r="K99" s="257" t="str">
        <f t="shared" si="9"/>
        <v/>
      </c>
      <c r="L99" s="475"/>
      <c r="M99" s="257" t="str">
        <f>IF(ISBLANK(A99),"",VLOOKUP(B99,Ceilings!$A$4:$F$203,5,0))</f>
        <v/>
      </c>
      <c r="N99" s="257" t="str">
        <f t="shared" si="10"/>
        <v/>
      </c>
      <c r="O99" s="475"/>
      <c r="P99" s="257" t="str">
        <f>IF(ISBLANK(A99),"",VLOOKUP(B99,Ceilings!$A$4:$F$203,6,0))</f>
        <v/>
      </c>
      <c r="Q99" s="183" t="str">
        <f t="shared" si="11"/>
        <v/>
      </c>
    </row>
    <row r="100" spans="1:17">
      <c r="A100" s="506"/>
      <c r="B100" s="255" t="str">
        <f>IF(ISBLANK(A100),"",VLOOKUP(A100,Management!$A$11:$C$25,2,0))</f>
        <v/>
      </c>
      <c r="C100" s="473"/>
      <c r="D100" s="465" t="str">
        <f t="shared" si="6"/>
        <v/>
      </c>
      <c r="E100" s="256" t="str">
        <f t="shared" si="7"/>
        <v/>
      </c>
      <c r="F100" s="474"/>
      <c r="G100" s="257" t="str">
        <f>IF(ISBLANK(A100),"",VLOOKUP(B100,Ceilings!$A$4:$F$203,3,0))</f>
        <v/>
      </c>
      <c r="H100" s="257" t="str">
        <f t="shared" si="8"/>
        <v/>
      </c>
      <c r="I100" s="475"/>
      <c r="J100" s="257" t="str">
        <f>IF(ISBLANK(A100),"",VLOOKUP(B100,Ceilings!$A$4:$F$203,4,0))</f>
        <v/>
      </c>
      <c r="K100" s="257" t="str">
        <f t="shared" si="9"/>
        <v/>
      </c>
      <c r="L100" s="475"/>
      <c r="M100" s="257" t="str">
        <f>IF(ISBLANK(A100),"",VLOOKUP(B100,Ceilings!$A$4:$F$203,5,0))</f>
        <v/>
      </c>
      <c r="N100" s="257" t="str">
        <f t="shared" si="10"/>
        <v/>
      </c>
      <c r="O100" s="475"/>
      <c r="P100" s="257" t="str">
        <f>IF(ISBLANK(A100),"",VLOOKUP(B100,Ceilings!$A$4:$F$203,6,0))</f>
        <v/>
      </c>
      <c r="Q100" s="183" t="str">
        <f t="shared" si="11"/>
        <v/>
      </c>
    </row>
    <row r="101" spans="1:17">
      <c r="A101" s="506"/>
      <c r="B101" s="255" t="str">
        <f>IF(ISBLANK(A101),"",VLOOKUP(A101,Management!$A$11:$C$25,2,0))</f>
        <v/>
      </c>
      <c r="C101" s="473"/>
      <c r="D101" s="465" t="str">
        <f t="shared" si="6"/>
        <v/>
      </c>
      <c r="E101" s="256" t="str">
        <f t="shared" si="7"/>
        <v/>
      </c>
      <c r="F101" s="474"/>
      <c r="G101" s="257" t="str">
        <f>IF(ISBLANK(A101),"",VLOOKUP(B101,Ceilings!$A$4:$F$203,3,0))</f>
        <v/>
      </c>
      <c r="H101" s="257" t="str">
        <f t="shared" si="8"/>
        <v/>
      </c>
      <c r="I101" s="475"/>
      <c r="J101" s="257" t="str">
        <f>IF(ISBLANK(A101),"",VLOOKUP(B101,Ceilings!$A$4:$F$203,4,0))</f>
        <v/>
      </c>
      <c r="K101" s="257" t="str">
        <f t="shared" si="9"/>
        <v/>
      </c>
      <c r="L101" s="475"/>
      <c r="M101" s="257" t="str">
        <f>IF(ISBLANK(A101),"",VLOOKUP(B101,Ceilings!$A$4:$F$203,5,0))</f>
        <v/>
      </c>
      <c r="N101" s="257" t="str">
        <f t="shared" si="10"/>
        <v/>
      </c>
      <c r="O101" s="475"/>
      <c r="P101" s="257" t="str">
        <f>IF(ISBLANK(A101),"",VLOOKUP(B101,Ceilings!$A$4:$F$203,6,0))</f>
        <v/>
      </c>
      <c r="Q101" s="183" t="str">
        <f t="shared" si="11"/>
        <v/>
      </c>
    </row>
    <row r="102" spans="1:17">
      <c r="A102" s="506"/>
      <c r="B102" s="255" t="str">
        <f>IF(ISBLANK(A102),"",VLOOKUP(A102,Management!$A$11:$C$25,2,0))</f>
        <v/>
      </c>
      <c r="C102" s="473"/>
      <c r="D102" s="465" t="str">
        <f t="shared" si="6"/>
        <v/>
      </c>
      <c r="E102" s="256" t="str">
        <f t="shared" si="7"/>
        <v/>
      </c>
      <c r="F102" s="474"/>
      <c r="G102" s="257" t="str">
        <f>IF(ISBLANK(A102),"",VLOOKUP(B102,Ceilings!$A$4:$F$203,3,0))</f>
        <v/>
      </c>
      <c r="H102" s="257" t="str">
        <f t="shared" si="8"/>
        <v/>
      </c>
      <c r="I102" s="475"/>
      <c r="J102" s="257" t="str">
        <f>IF(ISBLANK(A102),"",VLOOKUP(B102,Ceilings!$A$4:$F$203,4,0))</f>
        <v/>
      </c>
      <c r="K102" s="257" t="str">
        <f t="shared" si="9"/>
        <v/>
      </c>
      <c r="L102" s="475"/>
      <c r="M102" s="257" t="str">
        <f>IF(ISBLANK(A102),"",VLOOKUP(B102,Ceilings!$A$4:$F$203,5,0))</f>
        <v/>
      </c>
      <c r="N102" s="257" t="str">
        <f t="shared" si="10"/>
        <v/>
      </c>
      <c r="O102" s="475"/>
      <c r="P102" s="257" t="str">
        <f>IF(ISBLANK(A102),"",VLOOKUP(B102,Ceilings!$A$4:$F$203,6,0))</f>
        <v/>
      </c>
      <c r="Q102" s="183" t="str">
        <f t="shared" si="11"/>
        <v/>
      </c>
    </row>
    <row r="103" spans="1:17">
      <c r="A103" s="506"/>
      <c r="B103" s="255" t="str">
        <f>IF(ISBLANK(A103),"",VLOOKUP(A103,Management!$A$11:$C$25,2,0))</f>
        <v/>
      </c>
      <c r="C103" s="473"/>
      <c r="D103" s="465" t="str">
        <f t="shared" si="6"/>
        <v/>
      </c>
      <c r="E103" s="256" t="str">
        <f t="shared" si="7"/>
        <v/>
      </c>
      <c r="F103" s="474"/>
      <c r="G103" s="257" t="str">
        <f>IF(ISBLANK(A103),"",VLOOKUP(B103,Ceilings!$A$4:$F$203,3,0))</f>
        <v/>
      </c>
      <c r="H103" s="257" t="str">
        <f t="shared" si="8"/>
        <v/>
      </c>
      <c r="I103" s="475"/>
      <c r="J103" s="257" t="str">
        <f>IF(ISBLANK(A103),"",VLOOKUP(B103,Ceilings!$A$4:$F$203,4,0))</f>
        <v/>
      </c>
      <c r="K103" s="257" t="str">
        <f t="shared" si="9"/>
        <v/>
      </c>
      <c r="L103" s="475"/>
      <c r="M103" s="257" t="str">
        <f>IF(ISBLANK(A103),"",VLOOKUP(B103,Ceilings!$A$4:$F$203,5,0))</f>
        <v/>
      </c>
      <c r="N103" s="257" t="str">
        <f t="shared" si="10"/>
        <v/>
      </c>
      <c r="O103" s="475"/>
      <c r="P103" s="257" t="str">
        <f>IF(ISBLANK(A103),"",VLOOKUP(B103,Ceilings!$A$4:$F$203,6,0))</f>
        <v/>
      </c>
      <c r="Q103" s="183" t="str">
        <f t="shared" si="11"/>
        <v/>
      </c>
    </row>
    <row r="104" spans="1:17">
      <c r="A104" s="506"/>
      <c r="B104" s="255" t="str">
        <f>IF(ISBLANK(A104),"",VLOOKUP(A104,Management!$A$11:$C$25,2,0))</f>
        <v/>
      </c>
      <c r="C104" s="473"/>
      <c r="D104" s="465" t="str">
        <f t="shared" si="6"/>
        <v/>
      </c>
      <c r="E104" s="256" t="str">
        <f t="shared" si="7"/>
        <v/>
      </c>
      <c r="F104" s="474"/>
      <c r="G104" s="257" t="str">
        <f>IF(ISBLANK(A104),"",VLOOKUP(B104,Ceilings!$A$4:$F$203,3,0))</f>
        <v/>
      </c>
      <c r="H104" s="257" t="str">
        <f t="shared" si="8"/>
        <v/>
      </c>
      <c r="I104" s="475"/>
      <c r="J104" s="257" t="str">
        <f>IF(ISBLANK(A104),"",VLOOKUP(B104,Ceilings!$A$4:$F$203,4,0))</f>
        <v/>
      </c>
      <c r="K104" s="257" t="str">
        <f t="shared" si="9"/>
        <v/>
      </c>
      <c r="L104" s="475"/>
      <c r="M104" s="257" t="str">
        <f>IF(ISBLANK(A104),"",VLOOKUP(B104,Ceilings!$A$4:$F$203,5,0))</f>
        <v/>
      </c>
      <c r="N104" s="257" t="str">
        <f t="shared" si="10"/>
        <v/>
      </c>
      <c r="O104" s="475"/>
      <c r="P104" s="257" t="str">
        <f>IF(ISBLANK(A104),"",VLOOKUP(B104,Ceilings!$A$4:$F$203,6,0))</f>
        <v/>
      </c>
      <c r="Q104" s="183" t="str">
        <f t="shared" si="11"/>
        <v/>
      </c>
    </row>
    <row r="105" spans="1:17">
      <c r="A105" s="506"/>
      <c r="B105" s="255" t="str">
        <f>IF(ISBLANK(A105),"",VLOOKUP(A105,Management!$A$11:$C$25,2,0))</f>
        <v/>
      </c>
      <c r="C105" s="473"/>
      <c r="D105" s="465" t="str">
        <f t="shared" si="6"/>
        <v/>
      </c>
      <c r="E105" s="256" t="str">
        <f t="shared" si="7"/>
        <v/>
      </c>
      <c r="F105" s="474"/>
      <c r="G105" s="257" t="str">
        <f>IF(ISBLANK(A105),"",VLOOKUP(B105,Ceilings!$A$4:$F$203,3,0))</f>
        <v/>
      </c>
      <c r="H105" s="257" t="str">
        <f t="shared" si="8"/>
        <v/>
      </c>
      <c r="I105" s="475"/>
      <c r="J105" s="257" t="str">
        <f>IF(ISBLANK(A105),"",VLOOKUP(B105,Ceilings!$A$4:$F$203,4,0))</f>
        <v/>
      </c>
      <c r="K105" s="257" t="str">
        <f t="shared" si="9"/>
        <v/>
      </c>
      <c r="L105" s="475"/>
      <c r="M105" s="257" t="str">
        <f>IF(ISBLANK(A105),"",VLOOKUP(B105,Ceilings!$A$4:$F$203,5,0))</f>
        <v/>
      </c>
      <c r="N105" s="257" t="str">
        <f t="shared" si="10"/>
        <v/>
      </c>
      <c r="O105" s="475"/>
      <c r="P105" s="257" t="str">
        <f>IF(ISBLANK(A105),"",VLOOKUP(B105,Ceilings!$A$4:$F$203,6,0))</f>
        <v/>
      </c>
      <c r="Q105" s="183" t="str">
        <f t="shared" si="11"/>
        <v/>
      </c>
    </row>
    <row r="106" spans="1:17">
      <c r="A106" s="506"/>
      <c r="B106" s="255" t="str">
        <f>IF(ISBLANK(A106),"",VLOOKUP(A106,Management!$A$11:$C$25,2,0))</f>
        <v/>
      </c>
      <c r="C106" s="473"/>
      <c r="D106" s="465" t="str">
        <f t="shared" si="6"/>
        <v/>
      </c>
      <c r="E106" s="256" t="str">
        <f t="shared" si="7"/>
        <v/>
      </c>
      <c r="F106" s="474"/>
      <c r="G106" s="257" t="str">
        <f>IF(ISBLANK(A106),"",VLOOKUP(B106,Ceilings!$A$4:$F$203,3,0))</f>
        <v/>
      </c>
      <c r="H106" s="257" t="str">
        <f t="shared" si="8"/>
        <v/>
      </c>
      <c r="I106" s="475"/>
      <c r="J106" s="257" t="str">
        <f>IF(ISBLANK(A106),"",VLOOKUP(B106,Ceilings!$A$4:$F$203,4,0))</f>
        <v/>
      </c>
      <c r="K106" s="257" t="str">
        <f t="shared" si="9"/>
        <v/>
      </c>
      <c r="L106" s="475"/>
      <c r="M106" s="257" t="str">
        <f>IF(ISBLANK(A106),"",VLOOKUP(B106,Ceilings!$A$4:$F$203,5,0))</f>
        <v/>
      </c>
      <c r="N106" s="257" t="str">
        <f t="shared" si="10"/>
        <v/>
      </c>
      <c r="O106" s="475"/>
      <c r="P106" s="257" t="str">
        <f>IF(ISBLANK(A106),"",VLOOKUP(B106,Ceilings!$A$4:$F$203,6,0))</f>
        <v/>
      </c>
      <c r="Q106" s="183" t="str">
        <f t="shared" si="11"/>
        <v/>
      </c>
    </row>
    <row r="107" spans="1:17">
      <c r="A107" s="506"/>
      <c r="B107" s="255" t="str">
        <f>IF(ISBLANK(A107),"",VLOOKUP(A107,Management!$A$11:$C$25,2,0))</f>
        <v/>
      </c>
      <c r="C107" s="473"/>
      <c r="D107" s="465" t="str">
        <f t="shared" si="6"/>
        <v/>
      </c>
      <c r="E107" s="256" t="str">
        <f t="shared" si="7"/>
        <v/>
      </c>
      <c r="F107" s="474"/>
      <c r="G107" s="257" t="str">
        <f>IF(ISBLANK(A107),"",VLOOKUP(B107,Ceilings!$A$4:$F$203,3,0))</f>
        <v/>
      </c>
      <c r="H107" s="257" t="str">
        <f t="shared" si="8"/>
        <v/>
      </c>
      <c r="I107" s="475"/>
      <c r="J107" s="257" t="str">
        <f>IF(ISBLANK(A107),"",VLOOKUP(B107,Ceilings!$A$4:$F$203,4,0))</f>
        <v/>
      </c>
      <c r="K107" s="257" t="str">
        <f t="shared" si="9"/>
        <v/>
      </c>
      <c r="L107" s="475"/>
      <c r="M107" s="257" t="str">
        <f>IF(ISBLANK(A107),"",VLOOKUP(B107,Ceilings!$A$4:$F$203,5,0))</f>
        <v/>
      </c>
      <c r="N107" s="257" t="str">
        <f t="shared" si="10"/>
        <v/>
      </c>
      <c r="O107" s="475"/>
      <c r="P107" s="257" t="str">
        <f>IF(ISBLANK(A107),"",VLOOKUP(B107,Ceilings!$A$4:$F$203,6,0))</f>
        <v/>
      </c>
      <c r="Q107" s="183" t="str">
        <f t="shared" si="11"/>
        <v/>
      </c>
    </row>
    <row r="108" spans="1:17">
      <c r="A108" s="506"/>
      <c r="B108" s="255" t="str">
        <f>IF(ISBLANK(A108),"",VLOOKUP(A108,Management!$A$11:$C$25,2,0))</f>
        <v/>
      </c>
      <c r="C108" s="473"/>
      <c r="D108" s="465" t="str">
        <f t="shared" si="6"/>
        <v/>
      </c>
      <c r="E108" s="256" t="str">
        <f t="shared" si="7"/>
        <v/>
      </c>
      <c r="F108" s="474"/>
      <c r="G108" s="257" t="str">
        <f>IF(ISBLANK(A108),"",VLOOKUP(B108,Ceilings!$A$4:$F$203,3,0))</f>
        <v/>
      </c>
      <c r="H108" s="257" t="str">
        <f t="shared" si="8"/>
        <v/>
      </c>
      <c r="I108" s="475"/>
      <c r="J108" s="257" t="str">
        <f>IF(ISBLANK(A108),"",VLOOKUP(B108,Ceilings!$A$4:$F$203,4,0))</f>
        <v/>
      </c>
      <c r="K108" s="257" t="str">
        <f t="shared" si="9"/>
        <v/>
      </c>
      <c r="L108" s="475"/>
      <c r="M108" s="257" t="str">
        <f>IF(ISBLANK(A108),"",VLOOKUP(B108,Ceilings!$A$4:$F$203,5,0))</f>
        <v/>
      </c>
      <c r="N108" s="257" t="str">
        <f t="shared" si="10"/>
        <v/>
      </c>
      <c r="O108" s="475"/>
      <c r="P108" s="257" t="str">
        <f>IF(ISBLANK(A108),"",VLOOKUP(B108,Ceilings!$A$4:$F$203,6,0))</f>
        <v/>
      </c>
      <c r="Q108" s="183" t="str">
        <f t="shared" si="11"/>
        <v/>
      </c>
    </row>
    <row r="109" spans="1:17" ht="13.5" thickBot="1">
      <c r="A109" s="507"/>
      <c r="B109" s="52" t="str">
        <f>IF(ISBLANK(A109),"",VLOOKUP(A109,Management!$A$11:$C$25,2,0))</f>
        <v/>
      </c>
      <c r="C109" s="477"/>
      <c r="D109" s="469" t="str">
        <f t="shared" si="6"/>
        <v/>
      </c>
      <c r="E109" s="448" t="str">
        <f t="shared" si="7"/>
        <v/>
      </c>
      <c r="F109" s="478"/>
      <c r="G109" s="479" t="str">
        <f>IF(ISBLANK(A109),"",VLOOKUP(B109,Ceilings!$A$4:$F$203,3,0))</f>
        <v/>
      </c>
      <c r="H109" s="479" t="str">
        <f t="shared" si="8"/>
        <v/>
      </c>
      <c r="I109" s="480"/>
      <c r="J109" s="479" t="str">
        <f>IF(ISBLANK(A109),"",VLOOKUP(B109,Ceilings!$A$4:$F$203,4,0))</f>
        <v/>
      </c>
      <c r="K109" s="479" t="str">
        <f t="shared" si="9"/>
        <v/>
      </c>
      <c r="L109" s="480"/>
      <c r="M109" s="479" t="str">
        <f>IF(ISBLANK(A109),"",VLOOKUP(B109,Ceilings!$A$4:$F$203,5,0))</f>
        <v/>
      </c>
      <c r="N109" s="479" t="str">
        <f t="shared" si="10"/>
        <v/>
      </c>
      <c r="O109" s="480"/>
      <c r="P109" s="259" t="str">
        <f>IF(ISBLANK(A109),"",VLOOKUP(B109,Ceilings!$A$4:$F$203,6,0))</f>
        <v/>
      </c>
      <c r="Q109" s="186" t="str">
        <f t="shared" si="11"/>
        <v/>
      </c>
    </row>
    <row r="111" spans="1:17">
      <c r="A111" s="260"/>
    </row>
  </sheetData>
  <sheetProtection password="B516" sheet="1" sort="0" autoFilter="0"/>
  <mergeCells count="10">
    <mergeCell ref="A4:A5"/>
    <mergeCell ref="B4:B5"/>
    <mergeCell ref="D4:D5"/>
    <mergeCell ref="E4:E5"/>
    <mergeCell ref="C4:C5"/>
    <mergeCell ref="F3:Q3"/>
    <mergeCell ref="F4:H4"/>
    <mergeCell ref="I4:K4"/>
    <mergeCell ref="L4:N4"/>
    <mergeCell ref="O4:Q4"/>
  </mergeCells>
  <phoneticPr fontId="7" type="noConversion"/>
  <dataValidations count="1">
    <dataValidation type="list" allowBlank="1" showInputMessage="1" showErrorMessage="1" sqref="A8:A109">
      <formula1>Partners</formula1>
    </dataValidation>
  </dataValidations>
  <printOptions horizontalCentered="1"/>
  <pageMargins left="0.7" right="0.7" top="0.75" bottom="0.75" header="0.3" footer="0.3"/>
  <pageSetup paperSize="9" scale="62" fitToHeight="0" orientation="landscape" r:id="rId1"/>
  <headerFooter>
    <oddHeader>&amp;C&amp;11 2020 - C2  E+ KA226 - HED&amp;RVersion: 2020.09.08. - TKA</oddHeader>
    <oddFooter>&amp;C&amp;"Arial,Félkövér"&amp;A&amp;R&amp;P. oldal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pageSetUpPr fitToPage="1"/>
  </sheetPr>
  <dimension ref="A1:I36"/>
  <sheetViews>
    <sheetView zoomScaleNormal="100" zoomScaleSheetLayoutView="100" workbookViewId="0">
      <selection activeCell="A6" sqref="A6"/>
    </sheetView>
  </sheetViews>
  <sheetFormatPr defaultColWidth="8.85546875" defaultRowHeight="12.75"/>
  <cols>
    <col min="1" max="1" width="31.42578125" style="29" customWidth="1"/>
    <col min="2" max="2" width="20" style="24" customWidth="1"/>
    <col min="3" max="3" width="25.140625" style="24" customWidth="1"/>
    <col min="4" max="4" width="15.140625" style="26" customWidth="1"/>
    <col min="5" max="5" width="10" style="41" customWidth="1"/>
    <col min="6" max="6" width="11" style="42" customWidth="1"/>
    <col min="7" max="7" width="13.28515625" style="42" customWidth="1"/>
    <col min="8" max="8" width="11.7109375" style="42" customWidth="1"/>
    <col min="9" max="9" width="32.42578125" style="40" customWidth="1"/>
    <col min="10" max="16384" width="8.85546875" style="10"/>
  </cols>
  <sheetData>
    <row r="1" spans="1:9" s="370" customFormat="1" ht="24.75" customHeight="1">
      <c r="A1" s="99" t="s">
        <v>142</v>
      </c>
      <c r="B1" s="100"/>
      <c r="C1" s="589" t="s">
        <v>455</v>
      </c>
      <c r="D1" s="589"/>
      <c r="E1" s="589"/>
      <c r="F1" s="31"/>
      <c r="G1" s="368" t="s">
        <v>308</v>
      </c>
      <c r="H1" s="369">
        <v>100</v>
      </c>
      <c r="I1" s="30"/>
    </row>
    <row r="2" spans="1:9" s="370" customFormat="1" ht="24.75" customHeight="1" thickBot="1">
      <c r="A2" s="103" t="s">
        <v>0</v>
      </c>
      <c r="B2" s="104"/>
      <c r="C2" s="589"/>
      <c r="D2" s="589"/>
      <c r="E2" s="589"/>
      <c r="F2" s="31"/>
      <c r="G2" s="371" t="s">
        <v>309</v>
      </c>
      <c r="H2" s="372">
        <v>200</v>
      </c>
      <c r="I2" s="30"/>
    </row>
    <row r="3" spans="1:9" s="93" customFormat="1" ht="13.5" customHeight="1" thickBot="1">
      <c r="A3" s="102"/>
      <c r="B3" s="102"/>
      <c r="C3" s="102"/>
      <c r="D3" s="102"/>
      <c r="E3" s="102"/>
      <c r="F3" s="102"/>
      <c r="G3" s="102"/>
      <c r="H3" s="102"/>
      <c r="I3" s="92"/>
    </row>
    <row r="4" spans="1:9" s="34" customFormat="1" ht="26.25" thickBot="1">
      <c r="A4" s="118" t="s">
        <v>445</v>
      </c>
      <c r="B4" s="119" t="s">
        <v>448</v>
      </c>
      <c r="C4" s="119" t="s">
        <v>132</v>
      </c>
      <c r="D4" s="130" t="s">
        <v>386</v>
      </c>
      <c r="E4" s="131" t="s">
        <v>122</v>
      </c>
      <c r="F4" s="132" t="s">
        <v>133</v>
      </c>
      <c r="G4" s="132" t="s">
        <v>134</v>
      </c>
      <c r="H4" s="132" t="s">
        <v>135</v>
      </c>
      <c r="I4" s="33"/>
    </row>
    <row r="5" spans="1:9" s="31" customFormat="1" ht="13.5" customHeight="1" thickBot="1">
      <c r="A5" s="140"/>
      <c r="B5" s="337"/>
      <c r="C5" s="163"/>
      <c r="D5" s="163"/>
      <c r="E5" s="125" t="s">
        <v>319</v>
      </c>
      <c r="F5" s="35">
        <f>SUM(F6:F36)</f>
        <v>0</v>
      </c>
      <c r="G5" s="36">
        <f>SUM(G6:G36)</f>
        <v>0</v>
      </c>
      <c r="H5" s="196">
        <f>SUM(H6:H36)</f>
        <v>0</v>
      </c>
      <c r="I5" s="37" t="str">
        <f>IF(H5&gt;30000,"Maximum 30 000 EUR per project!","")</f>
        <v/>
      </c>
    </row>
    <row r="6" spans="1:9" ht="13.5" customHeight="1">
      <c r="A6" s="508"/>
      <c r="B6" s="336" t="str">
        <f>IF(ISBLANK(A6),"",VLOOKUP(A6,Management!$A$11:$B$25,2,0))</f>
        <v/>
      </c>
      <c r="C6" s="459"/>
      <c r="D6" s="460"/>
      <c r="E6" s="429"/>
      <c r="F6" s="461"/>
      <c r="G6" s="461"/>
      <c r="H6" s="174" t="str">
        <f>IF(ISBLANK(A6),"",IF(OR(ISBLANK(C6),ISBLANK(D6),ISBLANK(E6),AND(ISBLANK(F6),ISBLANK(G6))),"Missing data",F6*$H$1+G6*$H$2))</f>
        <v/>
      </c>
    </row>
    <row r="7" spans="1:9">
      <c r="A7" s="509"/>
      <c r="B7" s="338" t="str">
        <f>IF(ISBLANK(A7),"",VLOOKUP(A7,Management!$A$11:$B$25,2,0))</f>
        <v/>
      </c>
      <c r="C7" s="462"/>
      <c r="D7" s="463"/>
      <c r="E7" s="433"/>
      <c r="F7" s="464"/>
      <c r="G7" s="464"/>
      <c r="H7" s="465" t="str">
        <f t="shared" ref="H7:H36" si="0">IF(ISBLANK(A7),"",IF(OR(ISBLANK(C7),ISBLANK(D7),ISBLANK(E7),AND(ISBLANK(F7),ISBLANK(G7))),"Missing data",F7*$H$1+G7*$H$2))</f>
        <v/>
      </c>
    </row>
    <row r="8" spans="1:9">
      <c r="A8" s="509"/>
      <c r="B8" s="338" t="str">
        <f>IF(ISBLANK(A8),"",VLOOKUP(A8,Management!$A$11:$B$25,2,0))</f>
        <v/>
      </c>
      <c r="C8" s="462"/>
      <c r="D8" s="463"/>
      <c r="E8" s="433"/>
      <c r="F8" s="464"/>
      <c r="G8" s="464"/>
      <c r="H8" s="465" t="str">
        <f t="shared" si="0"/>
        <v/>
      </c>
    </row>
    <row r="9" spans="1:9">
      <c r="A9" s="509"/>
      <c r="B9" s="338" t="str">
        <f>IF(ISBLANK(A9),"",VLOOKUP(A9,Management!$A$11:$B$25,2,0))</f>
        <v/>
      </c>
      <c r="C9" s="462"/>
      <c r="D9" s="463"/>
      <c r="E9" s="433"/>
      <c r="F9" s="464"/>
      <c r="G9" s="464"/>
      <c r="H9" s="465" t="str">
        <f t="shared" si="0"/>
        <v/>
      </c>
    </row>
    <row r="10" spans="1:9">
      <c r="A10" s="509"/>
      <c r="B10" s="338" t="str">
        <f>IF(ISBLANK(A10),"",VLOOKUP(A10,Management!$A$11:$B$25,2,0))</f>
        <v/>
      </c>
      <c r="C10" s="462"/>
      <c r="D10" s="463"/>
      <c r="E10" s="433"/>
      <c r="F10" s="464"/>
      <c r="G10" s="464"/>
      <c r="H10" s="465" t="str">
        <f t="shared" si="0"/>
        <v/>
      </c>
    </row>
    <row r="11" spans="1:9" ht="13.5" customHeight="1">
      <c r="A11" s="509"/>
      <c r="B11" s="338" t="str">
        <f>IF(ISBLANK(A11),"",VLOOKUP(A11,Management!$A$11:$B$25,2,0))</f>
        <v/>
      </c>
      <c r="C11" s="462"/>
      <c r="D11" s="463"/>
      <c r="E11" s="433"/>
      <c r="F11" s="464"/>
      <c r="G11" s="464"/>
      <c r="H11" s="465" t="str">
        <f t="shared" si="0"/>
        <v/>
      </c>
    </row>
    <row r="12" spans="1:9">
      <c r="A12" s="509"/>
      <c r="B12" s="338" t="str">
        <f>IF(ISBLANK(A12),"",VLOOKUP(A12,Management!$A$11:$B$25,2,0))</f>
        <v/>
      </c>
      <c r="C12" s="462"/>
      <c r="D12" s="463"/>
      <c r="E12" s="433"/>
      <c r="F12" s="464"/>
      <c r="G12" s="464"/>
      <c r="H12" s="465" t="str">
        <f t="shared" si="0"/>
        <v/>
      </c>
    </row>
    <row r="13" spans="1:9">
      <c r="A13" s="509"/>
      <c r="B13" s="338" t="str">
        <f>IF(ISBLANK(A13),"",VLOOKUP(A13,Management!$A$11:$B$25,2,0))</f>
        <v/>
      </c>
      <c r="C13" s="462"/>
      <c r="D13" s="463"/>
      <c r="E13" s="433"/>
      <c r="F13" s="464"/>
      <c r="G13" s="464"/>
      <c r="H13" s="465" t="str">
        <f t="shared" si="0"/>
        <v/>
      </c>
    </row>
    <row r="14" spans="1:9">
      <c r="A14" s="509"/>
      <c r="B14" s="338" t="str">
        <f>IF(ISBLANK(A14),"",VLOOKUP(A14,Management!$A$11:$B$25,2,0))</f>
        <v/>
      </c>
      <c r="C14" s="462"/>
      <c r="D14" s="463"/>
      <c r="E14" s="433"/>
      <c r="F14" s="464"/>
      <c r="G14" s="464"/>
      <c r="H14" s="465" t="str">
        <f t="shared" si="0"/>
        <v/>
      </c>
    </row>
    <row r="15" spans="1:9">
      <c r="A15" s="509"/>
      <c r="B15" s="338" t="str">
        <f>IF(ISBLANK(A15),"",VLOOKUP(A15,Management!$A$11:$B$25,2,0))</f>
        <v/>
      </c>
      <c r="C15" s="462"/>
      <c r="D15" s="463"/>
      <c r="E15" s="433"/>
      <c r="F15" s="464"/>
      <c r="G15" s="464"/>
      <c r="H15" s="465" t="str">
        <f t="shared" si="0"/>
        <v/>
      </c>
    </row>
    <row r="16" spans="1:9" ht="13.5" customHeight="1">
      <c r="A16" s="509"/>
      <c r="B16" s="338" t="str">
        <f>IF(ISBLANK(A16),"",VLOOKUP(A16,Management!$A$11:$B$25,2,0))</f>
        <v/>
      </c>
      <c r="C16" s="462"/>
      <c r="D16" s="463"/>
      <c r="E16" s="433"/>
      <c r="F16" s="464"/>
      <c r="G16" s="464"/>
      <c r="H16" s="465" t="str">
        <f t="shared" si="0"/>
        <v/>
      </c>
    </row>
    <row r="17" spans="1:8">
      <c r="A17" s="509"/>
      <c r="B17" s="338" t="str">
        <f>IF(ISBLANK(A17),"",VLOOKUP(A17,Management!$A$11:$B$25,2,0))</f>
        <v/>
      </c>
      <c r="C17" s="462"/>
      <c r="D17" s="463"/>
      <c r="E17" s="433"/>
      <c r="F17" s="464"/>
      <c r="G17" s="464"/>
      <c r="H17" s="465" t="str">
        <f t="shared" si="0"/>
        <v/>
      </c>
    </row>
    <row r="18" spans="1:8">
      <c r="A18" s="509"/>
      <c r="B18" s="338" t="str">
        <f>IF(ISBLANK(A18),"",VLOOKUP(A18,Management!$A$11:$B$25,2,0))</f>
        <v/>
      </c>
      <c r="C18" s="462"/>
      <c r="D18" s="463"/>
      <c r="E18" s="433"/>
      <c r="F18" s="464"/>
      <c r="G18" s="464"/>
      <c r="H18" s="465" t="str">
        <f t="shared" si="0"/>
        <v/>
      </c>
    </row>
    <row r="19" spans="1:8">
      <c r="A19" s="509"/>
      <c r="B19" s="338" t="str">
        <f>IF(ISBLANK(A19),"",VLOOKUP(A19,Management!$A$11:$B$25,2,0))</f>
        <v/>
      </c>
      <c r="C19" s="462"/>
      <c r="D19" s="463"/>
      <c r="E19" s="433"/>
      <c r="F19" s="464"/>
      <c r="G19" s="464"/>
      <c r="H19" s="465" t="str">
        <f t="shared" si="0"/>
        <v/>
      </c>
    </row>
    <row r="20" spans="1:8">
      <c r="A20" s="509"/>
      <c r="B20" s="338" t="str">
        <f>IF(ISBLANK(A20),"",VLOOKUP(A20,Management!$A$11:$B$25,2,0))</f>
        <v/>
      </c>
      <c r="C20" s="462"/>
      <c r="D20" s="463"/>
      <c r="E20" s="433"/>
      <c r="F20" s="464"/>
      <c r="G20" s="464"/>
      <c r="H20" s="465" t="str">
        <f t="shared" si="0"/>
        <v/>
      </c>
    </row>
    <row r="21" spans="1:8" ht="13.5" customHeight="1">
      <c r="A21" s="509"/>
      <c r="B21" s="338" t="str">
        <f>IF(ISBLANK(A21),"",VLOOKUP(A21,Management!$A$11:$B$25,2,0))</f>
        <v/>
      </c>
      <c r="C21" s="462"/>
      <c r="D21" s="463"/>
      <c r="E21" s="433"/>
      <c r="F21" s="464"/>
      <c r="G21" s="464"/>
      <c r="H21" s="465" t="str">
        <f t="shared" si="0"/>
        <v/>
      </c>
    </row>
    <row r="22" spans="1:8">
      <c r="A22" s="509"/>
      <c r="B22" s="338" t="str">
        <f>IF(ISBLANK(A22),"",VLOOKUP(A22,Management!$A$11:$B$25,2,0))</f>
        <v/>
      </c>
      <c r="C22" s="462"/>
      <c r="D22" s="463"/>
      <c r="E22" s="433"/>
      <c r="F22" s="464"/>
      <c r="G22" s="464"/>
      <c r="H22" s="465" t="str">
        <f t="shared" si="0"/>
        <v/>
      </c>
    </row>
    <row r="23" spans="1:8">
      <c r="A23" s="509"/>
      <c r="B23" s="338" t="str">
        <f>IF(ISBLANK(A23),"",VLOOKUP(A23,Management!$A$11:$B$25,2,0))</f>
        <v/>
      </c>
      <c r="C23" s="462"/>
      <c r="D23" s="463"/>
      <c r="E23" s="433"/>
      <c r="F23" s="464"/>
      <c r="G23" s="464"/>
      <c r="H23" s="465" t="str">
        <f t="shared" si="0"/>
        <v/>
      </c>
    </row>
    <row r="24" spans="1:8">
      <c r="A24" s="509"/>
      <c r="B24" s="338" t="str">
        <f>IF(ISBLANK(A24),"",VLOOKUP(A24,Management!$A$11:$B$25,2,0))</f>
        <v/>
      </c>
      <c r="C24" s="462"/>
      <c r="D24" s="463"/>
      <c r="E24" s="433"/>
      <c r="F24" s="464"/>
      <c r="G24" s="464"/>
      <c r="H24" s="465" t="str">
        <f t="shared" si="0"/>
        <v/>
      </c>
    </row>
    <row r="25" spans="1:8">
      <c r="A25" s="509"/>
      <c r="B25" s="338" t="str">
        <f>IF(ISBLANK(A25),"",VLOOKUP(A25,Management!$A$11:$B$25,2,0))</f>
        <v/>
      </c>
      <c r="C25" s="462"/>
      <c r="D25" s="463"/>
      <c r="E25" s="433"/>
      <c r="F25" s="464"/>
      <c r="G25" s="464"/>
      <c r="H25" s="465" t="str">
        <f t="shared" si="0"/>
        <v/>
      </c>
    </row>
    <row r="26" spans="1:8" ht="13.5" customHeight="1">
      <c r="A26" s="509"/>
      <c r="B26" s="338" t="str">
        <f>IF(ISBLANK(A26),"",VLOOKUP(A26,Management!$A$11:$B$25,2,0))</f>
        <v/>
      </c>
      <c r="C26" s="462"/>
      <c r="D26" s="463"/>
      <c r="E26" s="433"/>
      <c r="F26" s="464"/>
      <c r="G26" s="464"/>
      <c r="H26" s="465" t="str">
        <f t="shared" si="0"/>
        <v/>
      </c>
    </row>
    <row r="27" spans="1:8">
      <c r="A27" s="509"/>
      <c r="B27" s="338" t="str">
        <f>IF(ISBLANK(A27),"",VLOOKUP(A27,Management!$A$11:$B$25,2,0))</f>
        <v/>
      </c>
      <c r="C27" s="462"/>
      <c r="D27" s="463"/>
      <c r="E27" s="433"/>
      <c r="F27" s="464"/>
      <c r="G27" s="464"/>
      <c r="H27" s="465" t="str">
        <f t="shared" si="0"/>
        <v/>
      </c>
    </row>
    <row r="28" spans="1:8">
      <c r="A28" s="509"/>
      <c r="B28" s="338" t="str">
        <f>IF(ISBLANK(A28),"",VLOOKUP(A28,Management!$A$11:$B$25,2,0))</f>
        <v/>
      </c>
      <c r="C28" s="462"/>
      <c r="D28" s="463"/>
      <c r="E28" s="433"/>
      <c r="F28" s="464"/>
      <c r="G28" s="464"/>
      <c r="H28" s="465" t="str">
        <f t="shared" si="0"/>
        <v/>
      </c>
    </row>
    <row r="29" spans="1:8">
      <c r="A29" s="509"/>
      <c r="B29" s="338" t="str">
        <f>IF(ISBLANK(A29),"",VLOOKUP(A29,Management!$A$11:$B$25,2,0))</f>
        <v/>
      </c>
      <c r="C29" s="462"/>
      <c r="D29" s="463"/>
      <c r="E29" s="433"/>
      <c r="F29" s="464"/>
      <c r="G29" s="464"/>
      <c r="H29" s="465" t="str">
        <f t="shared" si="0"/>
        <v/>
      </c>
    </row>
    <row r="30" spans="1:8">
      <c r="A30" s="509"/>
      <c r="B30" s="338" t="str">
        <f>IF(ISBLANK(A30),"",VLOOKUP(A30,Management!$A$11:$B$25,2,0))</f>
        <v/>
      </c>
      <c r="C30" s="462"/>
      <c r="D30" s="463"/>
      <c r="E30" s="433"/>
      <c r="F30" s="464"/>
      <c r="G30" s="464"/>
      <c r="H30" s="465" t="str">
        <f t="shared" si="0"/>
        <v/>
      </c>
    </row>
    <row r="31" spans="1:8" ht="13.5" customHeight="1">
      <c r="A31" s="509"/>
      <c r="B31" s="338" t="str">
        <f>IF(ISBLANK(A31),"",VLOOKUP(A31,Management!$A$11:$B$25,2,0))</f>
        <v/>
      </c>
      <c r="C31" s="462"/>
      <c r="D31" s="463"/>
      <c r="E31" s="433"/>
      <c r="F31" s="464"/>
      <c r="G31" s="464"/>
      <c r="H31" s="465" t="str">
        <f t="shared" si="0"/>
        <v/>
      </c>
    </row>
    <row r="32" spans="1:8">
      <c r="A32" s="509"/>
      <c r="B32" s="338" t="str">
        <f>IF(ISBLANK(A32),"",VLOOKUP(A32,Management!$A$11:$B$25,2,0))</f>
        <v/>
      </c>
      <c r="C32" s="462"/>
      <c r="D32" s="463"/>
      <c r="E32" s="433"/>
      <c r="F32" s="464"/>
      <c r="G32" s="464"/>
      <c r="H32" s="465" t="str">
        <f t="shared" si="0"/>
        <v/>
      </c>
    </row>
    <row r="33" spans="1:8">
      <c r="A33" s="509"/>
      <c r="B33" s="338" t="str">
        <f>IF(ISBLANK(A33),"",VLOOKUP(A33,Management!$A$11:$B$25,2,0))</f>
        <v/>
      </c>
      <c r="C33" s="462"/>
      <c r="D33" s="463"/>
      <c r="E33" s="433"/>
      <c r="F33" s="464"/>
      <c r="G33" s="464"/>
      <c r="H33" s="465" t="str">
        <f t="shared" si="0"/>
        <v/>
      </c>
    </row>
    <row r="34" spans="1:8">
      <c r="A34" s="509"/>
      <c r="B34" s="338" t="str">
        <f>IF(ISBLANK(A34),"",VLOOKUP(A34,Management!$A$11:$B$25,2,0))</f>
        <v/>
      </c>
      <c r="C34" s="462"/>
      <c r="D34" s="463"/>
      <c r="E34" s="433"/>
      <c r="F34" s="464"/>
      <c r="G34" s="464"/>
      <c r="H34" s="465" t="str">
        <f t="shared" si="0"/>
        <v/>
      </c>
    </row>
    <row r="35" spans="1:8">
      <c r="A35" s="509"/>
      <c r="B35" s="338" t="str">
        <f>IF(ISBLANK(A35),"",VLOOKUP(A35,Management!$A$11:$B$25,2,0))</f>
        <v/>
      </c>
      <c r="C35" s="462"/>
      <c r="D35" s="463"/>
      <c r="E35" s="433"/>
      <c r="F35" s="464"/>
      <c r="G35" s="464"/>
      <c r="H35" s="465" t="str">
        <f t="shared" si="0"/>
        <v/>
      </c>
    </row>
    <row r="36" spans="1:8" ht="13.5" customHeight="1" thickBot="1">
      <c r="A36" s="510"/>
      <c r="B36" s="339" t="str">
        <f>IF(ISBLANK(A36),"",VLOOKUP(A36,Management!$A$11:$B$25,2,0))</f>
        <v/>
      </c>
      <c r="C36" s="466"/>
      <c r="D36" s="467"/>
      <c r="E36" s="442"/>
      <c r="F36" s="468"/>
      <c r="G36" s="468"/>
      <c r="H36" s="469" t="str">
        <f t="shared" si="0"/>
        <v/>
      </c>
    </row>
  </sheetData>
  <sheetProtection password="B516" sheet="1" sort="0" autoFilter="0"/>
  <mergeCells count="1">
    <mergeCell ref="C1:E2"/>
  </mergeCells>
  <phoneticPr fontId="7" type="noConversion"/>
  <conditionalFormatting sqref="H5">
    <cfRule type="expression" dxfId="30" priority="1" stopIfTrue="1">
      <formula>I5&lt;&gt;""</formula>
    </cfRule>
  </conditionalFormatting>
  <dataValidations count="3">
    <dataValidation type="date" allowBlank="1" showInputMessage="1" showErrorMessage="1" error="Out of project time frame" sqref="D6:D36">
      <formula1>Start</formula1>
      <formula2>End</formula2>
    </dataValidation>
    <dataValidation type="list" allowBlank="1" showInputMessage="1" showErrorMessage="1" sqref="A6:A36">
      <formula1>Partners</formula1>
    </dataValidation>
    <dataValidation type="list" allowBlank="1" showInputMessage="1" showErrorMessage="1" sqref="B6:B36">
      <formula1>EUint</formula1>
    </dataValidation>
  </dataValidations>
  <printOptions horizontalCentered="1"/>
  <pageMargins left="0.59055118110236227" right="0.59055118110236227" top="0.6692913385826772" bottom="0.59055118110236227" header="0.31496062992125984" footer="0.31496062992125984"/>
  <pageSetup paperSize="9" scale="99" fitToHeight="6" orientation="landscape" r:id="rId1"/>
  <headerFooter>
    <oddHeader>&amp;C&amp;11 2020 - C2  E+ KA226 - HED&amp;R&amp;9Version: 2020.09.08. - TKA</oddHeader>
    <oddFooter>&amp;C&amp;"Arial,Félkövér"&amp;A</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8000"/>
    <pageSetUpPr fitToPage="1"/>
  </sheetPr>
  <dimension ref="A1:IX107"/>
  <sheetViews>
    <sheetView topLeftCell="A10" zoomScale="85" zoomScaleNormal="85" zoomScalePageLayoutView="66" workbookViewId="0">
      <selection activeCell="I34" sqref="I34:I43"/>
    </sheetView>
  </sheetViews>
  <sheetFormatPr defaultColWidth="8.85546875" defaultRowHeight="12.75"/>
  <cols>
    <col min="1" max="1" width="37" style="53" customWidth="1"/>
    <col min="2" max="2" width="22.140625" style="54" customWidth="1"/>
    <col min="3" max="3" width="7" style="41" customWidth="1"/>
    <col min="4" max="4" width="40" style="55" customWidth="1"/>
    <col min="5" max="5" width="10.85546875" style="41" customWidth="1"/>
    <col min="6" max="6" width="5.28515625" style="41" customWidth="1"/>
    <col min="7" max="7" width="5.140625" style="41" customWidth="1"/>
    <col min="8" max="8" width="10.42578125" style="41" customWidth="1"/>
    <col min="9" max="9" width="5.28515625" style="41" customWidth="1"/>
    <col min="10" max="10" width="5.85546875" style="41" customWidth="1"/>
    <col min="11" max="11" width="8.42578125" style="49" customWidth="1"/>
    <col min="12" max="12" width="17.28515625" style="56" bestFit="1" customWidth="1"/>
    <col min="13" max="13" width="10" style="42" bestFit="1" customWidth="1"/>
    <col min="14" max="14" width="11.28515625" style="42" customWidth="1"/>
    <col min="15" max="15" width="10.7109375" style="42" customWidth="1"/>
    <col min="16" max="16" width="10.42578125" style="42" bestFit="1" customWidth="1"/>
    <col min="17" max="17" width="10.42578125" style="42" customWidth="1"/>
    <col min="18" max="18" width="9.42578125" style="42" customWidth="1"/>
    <col min="19" max="19" width="11.42578125" style="42" bestFit="1" customWidth="1"/>
    <col min="20" max="16384" width="8.85546875" style="49"/>
  </cols>
  <sheetData>
    <row r="1" spans="1:258" s="367" customFormat="1" ht="15.75">
      <c r="A1" s="142" t="s">
        <v>389</v>
      </c>
      <c r="B1" s="143"/>
      <c r="C1" s="365"/>
      <c r="D1" s="366"/>
      <c r="E1" s="41"/>
      <c r="F1" s="41"/>
      <c r="G1" s="41"/>
      <c r="H1" s="41"/>
      <c r="J1" s="617" t="s">
        <v>398</v>
      </c>
      <c r="K1" s="618"/>
      <c r="L1" s="618"/>
      <c r="M1" s="618"/>
      <c r="N1" s="618"/>
      <c r="O1" s="618"/>
      <c r="P1" s="618"/>
      <c r="Q1" s="618"/>
      <c r="R1" s="61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610" t="s">
        <v>450</v>
      </c>
      <c r="C2" s="610"/>
      <c r="E2" s="41"/>
      <c r="F2" s="41"/>
      <c r="G2" s="41"/>
      <c r="H2" s="41"/>
      <c r="J2" s="620"/>
      <c r="K2" s="621"/>
      <c r="L2" s="621"/>
      <c r="M2" s="621"/>
      <c r="N2" s="621"/>
      <c r="O2" s="621"/>
      <c r="P2" s="621"/>
      <c r="Q2" s="621"/>
      <c r="R2" s="622"/>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00" t="s">
        <v>143</v>
      </c>
      <c r="E4" s="571" t="s">
        <v>381</v>
      </c>
      <c r="F4" s="606" t="s">
        <v>402</v>
      </c>
      <c r="G4" s="607"/>
      <c r="H4" s="571" t="s">
        <v>380</v>
      </c>
      <c r="I4" s="602" t="s">
        <v>403</v>
      </c>
      <c r="J4" s="603"/>
      <c r="K4" s="594" t="s">
        <v>448</v>
      </c>
      <c r="L4" s="592" t="s">
        <v>120</v>
      </c>
      <c r="M4" s="590" t="s">
        <v>145</v>
      </c>
      <c r="N4" s="598" t="s">
        <v>328</v>
      </c>
      <c r="O4" s="599"/>
      <c r="P4" s="590"/>
      <c r="Q4" s="596" t="s">
        <v>326</v>
      </c>
      <c r="R4" s="597"/>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26.25" thickBot="1">
      <c r="A5" s="566"/>
      <c r="B5" s="568"/>
      <c r="C5" s="572"/>
      <c r="D5" s="601"/>
      <c r="E5" s="572"/>
      <c r="F5" s="608"/>
      <c r="G5" s="609"/>
      <c r="H5" s="572"/>
      <c r="I5" s="604"/>
      <c r="J5" s="605"/>
      <c r="K5" s="595"/>
      <c r="L5" s="593"/>
      <c r="M5" s="591"/>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157"/>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t="str">
        <f>IF(ISBLANK(A7),"",VLOOKUP(A7,Management!$A$11:$C$25,2,0))</f>
        <v/>
      </c>
      <c r="C7" s="429"/>
      <c r="D7" s="57"/>
      <c r="E7" s="429"/>
      <c r="F7" s="430"/>
      <c r="G7" s="94" t="str">
        <f>IF(ISBLANK($D7),"","days")</f>
        <v/>
      </c>
      <c r="H7" s="431"/>
      <c r="I7" s="430"/>
      <c r="J7" s="94" t="str">
        <f>IF(ISBLANK($D7),"","days")</f>
        <v/>
      </c>
      <c r="K7" s="80"/>
      <c r="L7" s="361"/>
      <c r="M7" s="252" t="str">
        <f t="shared" ref="M7:M38" si="0">IF(ISBLANK(L7),"",(E7+H7)*VLOOKUP(L7,TravelGrant,2,0))</f>
        <v/>
      </c>
      <c r="N7" s="181" t="str">
        <f>IF(OR(ISBLANK($D7),ISBLANK($K7),ISBLANK($L7)),"",IF($L7="0–9 km",0,IF(LEFT($D7,4)="Long",VLOOKUP($K7,Subsistence,2,0)*14+VLOOKUP($K7,Subsistence,3,0)*46+VLOOKUP($K7,Subsistence,4,0)*($F7-60),IF(RIGHT($D7,8)="students",IF($F7&lt;15,Ceilings!$S$6*$F7,Ceilings!$S$6*14+Ceilings!$S$7*($F7-14)),IF($F7&lt;15,Ceilings!$S$3*$F7,Ceilings!$S$3*14+Ceilings!$S$4*($F7-14))))))</f>
        <v/>
      </c>
      <c r="O7" s="182" t="str">
        <f>IF(OR(ISBLANK(D7),ISBLANK(H7),ISBLANK(K7),ISBLANK(L7)),"",IF(L7="0–9 km",0,IF(I7&lt;15,Ceilings!$S$3*I7,Ceilings!$S$3*14+Ceilings!$S$4*(I7-14))))</f>
        <v/>
      </c>
      <c r="P7" s="180" t="str">
        <f>IF(N7="","",$E7*N7+IF(O7="",0,$H7*O7))</f>
        <v/>
      </c>
      <c r="Q7" s="432"/>
      <c r="R7" s="265" t="str">
        <f>IF(OR(ISBLANK($D7),ISBLANK($K7),ISBLANK(Q7)),"",Ceilings!$V$3*Q7)</f>
        <v/>
      </c>
      <c r="S7" s="174" t="str">
        <f t="shared" ref="S7:S38" si="1">IF(ISBLANK($A7),"",IF(OR(ISBLANK($C7),ISBLANK($D7),ISBLANK($E7),ISBLANK($K7)),"Missing data",SUM($M7,$P7,$R7)))</f>
        <v/>
      </c>
    </row>
    <row r="8" spans="1:258" ht="15.75" customHeight="1">
      <c r="A8" s="506"/>
      <c r="B8" s="51" t="str">
        <f>IF(ISBLANK(A8),"",VLOOKUP(A8,Management!$A$11:$C$25,2,0))</f>
        <v/>
      </c>
      <c r="C8" s="433"/>
      <c r="D8" s="421"/>
      <c r="E8" s="433"/>
      <c r="F8" s="434"/>
      <c r="G8" s="95" t="str">
        <f t="shared" ref="G8:G106" si="2">IF(ISBLANK($D8),"","days")</f>
        <v/>
      </c>
      <c r="H8" s="435"/>
      <c r="I8" s="434"/>
      <c r="J8" s="95" t="str">
        <f t="shared" ref="J8:J106" si="3">IF(ISBLANK($D8),"","days")</f>
        <v/>
      </c>
      <c r="K8" s="81"/>
      <c r="L8" s="362"/>
      <c r="M8" s="256" t="str">
        <f t="shared" si="0"/>
        <v/>
      </c>
      <c r="N8" s="184" t="str">
        <f>IF(OR(ISBLANK($D8),ISBLANK($K8),ISBLANK($L8)),"",IF($L8="0–9 km",0,IF(LEFT($D8,4)="Long",VLOOKUP($K8,Subsistence,2,0)*14+VLOOKUP($K8,Subsistence,3,0)*46+VLOOKUP($K8,Subsistence,4,0)*($F8-60),IF(RIGHT($D8,8)="students",IF($F8&lt;15,Ceilings!$S$6*$F8,Ceilings!$S$6*14+Ceilings!$S$7*($F8-14)),IF($F8&lt;15,Ceilings!$S$3*$F8,Ceilings!$S$3*14+Ceilings!$S$4*($F8-14))))))</f>
        <v/>
      </c>
      <c r="O8" s="185" t="str">
        <f>IF(OR(ISBLANK(D8),ISBLANK(H8),ISBLANK(K8),ISBLANK(L8)),"",IF(L8="0–9 km",0,IF(I8&lt;15,Ceilings!$S$3*I8,Ceilings!$S$3*14+Ceilings!$S$4*(I8-14))))</f>
        <v/>
      </c>
      <c r="P8" s="183" t="str">
        <f>IF(N8="","",$E8*N8+IF(O8="",0,$H8*O8))</f>
        <v/>
      </c>
      <c r="Q8" s="436"/>
      <c r="R8" s="266" t="str">
        <f>IF(OR(ISBLANK($D8),ISBLANK($K8),ISBLANK(Q8)),"",Ceilings!$V$3*Q8)</f>
        <v/>
      </c>
      <c r="S8" s="72" t="str">
        <f t="shared" si="1"/>
        <v/>
      </c>
    </row>
    <row r="9" spans="1:258" ht="15.75" customHeight="1">
      <c r="A9" s="506"/>
      <c r="B9" s="51" t="str">
        <f>IF(ISBLANK(A9),"",VLOOKUP(A9,Management!$A$11:$C$25,2,0))</f>
        <v/>
      </c>
      <c r="C9" s="433"/>
      <c r="D9" s="421"/>
      <c r="E9" s="433"/>
      <c r="F9" s="434"/>
      <c r="G9" s="95" t="str">
        <f t="shared" si="2"/>
        <v/>
      </c>
      <c r="H9" s="435"/>
      <c r="I9" s="434"/>
      <c r="J9" s="95" t="str">
        <f t="shared" si="3"/>
        <v/>
      </c>
      <c r="K9" s="81"/>
      <c r="L9" s="362"/>
      <c r="M9" s="256" t="str">
        <f t="shared" si="0"/>
        <v/>
      </c>
      <c r="N9" s="184" t="str">
        <f>IF(OR(ISBLANK($D9),ISBLANK($K9),ISBLANK($L9)),"",IF($L9="0–9 km",0,IF(LEFT($D9,4)="Long",VLOOKUP($K9,Subsistence,2,0)*14+VLOOKUP($K9,Subsistence,3,0)*46+VLOOKUP($K9,Subsistence,4,0)*($F9-60),IF(RIGHT($D9,8)="students",IF($F9&lt;15,Ceilings!$S$6*$F9,Ceilings!$S$6*14+Ceilings!$S$7*($F9-14)),IF($F9&lt;15,Ceilings!$S$3*$F9,Ceilings!$S$3*14+Ceilings!$S$4*($F9-14))))))</f>
        <v/>
      </c>
      <c r="O9" s="185" t="str">
        <f>IF(OR(ISBLANK(D9),ISBLANK(H9),ISBLANK(K9),ISBLANK(L9)),"",IF(L9="0–9 km",0,IF(I9&lt;15,Ceilings!$S$3*I9,Ceilings!$S$3*14+Ceilings!$S$4*(I9-14))))</f>
        <v/>
      </c>
      <c r="P9" s="183" t="str">
        <f t="shared" ref="P9:P72" si="4">IF(N9="","",$E9*N9+IF(O9="",0,$H9*O9))</f>
        <v/>
      </c>
      <c r="Q9" s="436"/>
      <c r="R9" s="266" t="str">
        <f>IF(OR(ISBLANK($D9),ISBLANK($K9),ISBLANK(Q9)),"",Ceilings!$V$3*Q9)</f>
        <v/>
      </c>
      <c r="S9" s="72" t="str">
        <f t="shared" si="1"/>
        <v/>
      </c>
    </row>
    <row r="10" spans="1:258" ht="15.75" customHeight="1">
      <c r="A10" s="506"/>
      <c r="B10" s="51" t="str">
        <f>IF(ISBLANK(A10),"",VLOOKUP(A10,Management!$A$11:$C$25,2,0))</f>
        <v/>
      </c>
      <c r="C10" s="433"/>
      <c r="D10" s="421"/>
      <c r="E10" s="433"/>
      <c r="F10" s="434"/>
      <c r="G10" s="95" t="str">
        <f t="shared" si="2"/>
        <v/>
      </c>
      <c r="H10" s="435"/>
      <c r="I10" s="434"/>
      <c r="J10" s="95" t="str">
        <f t="shared" si="3"/>
        <v/>
      </c>
      <c r="K10" s="81"/>
      <c r="L10" s="362"/>
      <c r="M10" s="256" t="str">
        <f t="shared" si="0"/>
        <v/>
      </c>
      <c r="N10" s="184" t="str">
        <f>IF(OR(ISBLANK($D10),ISBLANK($K10),ISBLANK($L10)),"",IF($L10="0–9 km",0,IF(LEFT($D10,4)="Long",VLOOKUP($K10,Subsistence,2,0)*14+VLOOKUP($K10,Subsistence,3,0)*46+VLOOKUP($K10,Subsistence,4,0)*($F10-60),IF(RIGHT($D10,8)="students",IF($F10&lt;15,Ceilings!$S$6*$F10,Ceilings!$S$6*14+Ceilings!$S$7*($F10-14)),IF($F10&lt;15,Ceilings!$S$3*$F10,Ceilings!$S$3*14+Ceilings!$S$4*($F10-14))))))</f>
        <v/>
      </c>
      <c r="O10" s="185" t="str">
        <f>IF(OR(ISBLANK(D10),ISBLANK(H10),ISBLANK(K10),ISBLANK(L10)),"",IF(L10="0–9 km",0,IF(I10&lt;15,Ceilings!$S$3*I10,Ceilings!$S$3*14+Ceilings!$S$4*(I10-14))))</f>
        <v/>
      </c>
      <c r="P10" s="183" t="str">
        <f t="shared" si="4"/>
        <v/>
      </c>
      <c r="Q10" s="436"/>
      <c r="R10" s="266" t="str">
        <f>IF(OR(ISBLANK($D10),ISBLANK($K10),ISBLANK(Q10)),"",Ceilings!$V$3*Q10)</f>
        <v/>
      </c>
      <c r="S10" s="72" t="str">
        <f t="shared" si="1"/>
        <v/>
      </c>
    </row>
    <row r="11" spans="1:258" ht="15.75" customHeight="1">
      <c r="A11" s="506"/>
      <c r="B11" s="51" t="str">
        <f>IF(ISBLANK(A11),"",VLOOKUP(A11,Management!$A$11:$C$25,2,0))</f>
        <v/>
      </c>
      <c r="C11" s="433"/>
      <c r="D11" s="421"/>
      <c r="E11" s="433"/>
      <c r="F11" s="434"/>
      <c r="G11" s="95" t="str">
        <f t="shared" si="2"/>
        <v/>
      </c>
      <c r="H11" s="435"/>
      <c r="I11" s="434"/>
      <c r="J11" s="95" t="str">
        <f t="shared" si="3"/>
        <v/>
      </c>
      <c r="K11" s="81"/>
      <c r="L11" s="362"/>
      <c r="M11" s="256" t="str">
        <f t="shared" si="0"/>
        <v/>
      </c>
      <c r="N11" s="184" t="str">
        <f>IF(OR(ISBLANK($D11),ISBLANK($K11),ISBLANK($L11)),"",IF($L11="0–9 km",0,IF(LEFT($D11,4)="Long",VLOOKUP($K11,Subsistence,2,0)*14+VLOOKUP($K11,Subsistence,3,0)*46+VLOOKUP($K11,Subsistence,4,0)*($F11-60),IF(RIGHT($D11,8)="students",IF($F11&lt;15,Ceilings!$S$6*$F11,Ceilings!$S$6*14+Ceilings!$S$7*($F11-14)),IF($F11&lt;15,Ceilings!$S$3*$F11,Ceilings!$S$3*14+Ceilings!$S$4*($F11-14))))))</f>
        <v/>
      </c>
      <c r="O11" s="185" t="str">
        <f>IF(OR(ISBLANK(D11),ISBLANK(H11),ISBLANK(K11),ISBLANK(L11)),"",IF(L11="0–9 km",0,IF(I11&lt;15,Ceilings!$S$3*I11,Ceilings!$S$3*14+Ceilings!$S$4*(I11-14))))</f>
        <v/>
      </c>
      <c r="P11" s="183" t="str">
        <f t="shared" si="4"/>
        <v/>
      </c>
      <c r="Q11" s="436"/>
      <c r="R11" s="266" t="str">
        <f>IF(OR(ISBLANK($D11),ISBLANK($K11),ISBLANK(Q11)),"",Ceilings!$V$3*Q11)</f>
        <v/>
      </c>
      <c r="S11" s="72" t="str">
        <f t="shared" si="1"/>
        <v/>
      </c>
    </row>
    <row r="12" spans="1:258" ht="15.75" customHeight="1">
      <c r="A12" s="506"/>
      <c r="B12" s="51" t="str">
        <f>IF(ISBLANK(A12),"",VLOOKUP(A12,Management!$A$11:$C$25,2,0))</f>
        <v/>
      </c>
      <c r="C12" s="433"/>
      <c r="D12" s="421"/>
      <c r="E12" s="433"/>
      <c r="F12" s="434"/>
      <c r="G12" s="95" t="str">
        <f t="shared" si="2"/>
        <v/>
      </c>
      <c r="H12" s="435"/>
      <c r="I12" s="434"/>
      <c r="J12" s="95" t="str">
        <f t="shared" si="3"/>
        <v/>
      </c>
      <c r="K12" s="81"/>
      <c r="L12" s="362"/>
      <c r="M12" s="256" t="str">
        <f t="shared" si="0"/>
        <v/>
      </c>
      <c r="N12" s="184" t="str">
        <f>IF(OR(ISBLANK($D12),ISBLANK($K12),ISBLANK($L12)),"",IF($L12="0–9 km",0,IF(LEFT($D12,4)="Long",VLOOKUP($K12,Subsistence,2,0)*14+VLOOKUP($K12,Subsistence,3,0)*46+VLOOKUP($K12,Subsistence,4,0)*($F12-60),IF(RIGHT($D12,8)="students",IF($F12&lt;15,Ceilings!$S$6*$F12,Ceilings!$S$6*14+Ceilings!$S$7*($F12-14)),IF($F12&lt;15,Ceilings!$S$3*$F12,Ceilings!$S$3*14+Ceilings!$S$4*($F12-14))))))</f>
        <v/>
      </c>
      <c r="O12" s="185" t="str">
        <f>IF(OR(ISBLANK(D12),ISBLANK(H12),ISBLANK(K12),ISBLANK(L12)),"",IF(L12="0–9 km",0,IF(I12&lt;15,Ceilings!$S$3*I12,Ceilings!$S$3*14+Ceilings!$S$4*(I12-14))))</f>
        <v/>
      </c>
      <c r="P12" s="183" t="str">
        <f t="shared" si="4"/>
        <v/>
      </c>
      <c r="Q12" s="436"/>
      <c r="R12" s="266" t="str">
        <f>IF(OR(ISBLANK($D12),ISBLANK($K12),ISBLANK(Q12)),"",Ceilings!$V$3*Q12)</f>
        <v/>
      </c>
      <c r="S12" s="72" t="str">
        <f t="shared" si="1"/>
        <v/>
      </c>
    </row>
    <row r="13" spans="1:258" ht="15.75" customHeight="1">
      <c r="A13" s="506"/>
      <c r="B13" s="51" t="str">
        <f>IF(ISBLANK(A13),"",VLOOKUP(A13,Management!$A$11:$C$25,2,0))</f>
        <v/>
      </c>
      <c r="C13" s="433"/>
      <c r="D13" s="421"/>
      <c r="E13" s="433"/>
      <c r="F13" s="434"/>
      <c r="G13" s="95" t="str">
        <f t="shared" si="2"/>
        <v/>
      </c>
      <c r="H13" s="435"/>
      <c r="I13" s="434"/>
      <c r="J13" s="95" t="str">
        <f t="shared" si="3"/>
        <v/>
      </c>
      <c r="K13" s="81"/>
      <c r="L13" s="362"/>
      <c r="M13" s="256" t="str">
        <f t="shared" si="0"/>
        <v/>
      </c>
      <c r="N13" s="184" t="str">
        <f>IF(OR(ISBLANK($D13),ISBLANK($K13),ISBLANK($L13)),"",IF($L13="0–9 km",0,IF(LEFT($D13,4)="Long",VLOOKUP($K13,Subsistence,2,0)*14+VLOOKUP($K13,Subsistence,3,0)*46+VLOOKUP($K13,Subsistence,4,0)*($F13-60),IF(RIGHT($D13,8)="students",IF($F13&lt;15,Ceilings!$S$6*$F13,Ceilings!$S$6*14+Ceilings!$S$7*($F13-14)),IF($F13&lt;15,Ceilings!$S$3*$F13,Ceilings!$S$3*14+Ceilings!$S$4*($F13-14))))))</f>
        <v/>
      </c>
      <c r="O13" s="185" t="str">
        <f>IF(OR(ISBLANK(D13),ISBLANK(H13),ISBLANK(K13),ISBLANK(L13)),"",IF(L13="0–9 km",0,IF(I13&lt;15,Ceilings!$S$3*I13,Ceilings!$S$3*14+Ceilings!$S$4*(I13-14))))</f>
        <v/>
      </c>
      <c r="P13" s="183" t="str">
        <f t="shared" si="4"/>
        <v/>
      </c>
      <c r="Q13" s="436"/>
      <c r="R13" s="266" t="str">
        <f>IF(OR(ISBLANK($D13),ISBLANK($K13),ISBLANK(Q13)),"",Ceilings!$V$3*Q13)</f>
        <v/>
      </c>
      <c r="S13" s="72" t="str">
        <f t="shared" si="1"/>
        <v/>
      </c>
    </row>
    <row r="14" spans="1:258" ht="15.75" customHeight="1">
      <c r="A14" s="506"/>
      <c r="B14" s="51" t="str">
        <f>IF(ISBLANK(A14),"",VLOOKUP(A14,Management!$A$11:$C$25,2,0))</f>
        <v/>
      </c>
      <c r="C14" s="433"/>
      <c r="D14" s="421"/>
      <c r="E14" s="433"/>
      <c r="F14" s="434"/>
      <c r="G14" s="95" t="str">
        <f t="shared" si="2"/>
        <v/>
      </c>
      <c r="H14" s="435"/>
      <c r="I14" s="434"/>
      <c r="J14" s="95" t="str">
        <f t="shared" si="3"/>
        <v/>
      </c>
      <c r="K14" s="81"/>
      <c r="L14" s="362"/>
      <c r="M14" s="256" t="str">
        <f t="shared" si="0"/>
        <v/>
      </c>
      <c r="N14" s="184" t="str">
        <f>IF(OR(ISBLANK($D14),ISBLANK($K14),ISBLANK($L14)),"",IF($L14="0–9 km",0,IF(LEFT($D14,4)="Long",VLOOKUP($K14,Subsistence,2,0)*14+VLOOKUP($K14,Subsistence,3,0)*46+VLOOKUP($K14,Subsistence,4,0)*($F14-60),IF(RIGHT($D14,8)="students",IF($F14&lt;15,Ceilings!$S$6*$F14,Ceilings!$S$6*14+Ceilings!$S$7*($F14-14)),IF($F14&lt;15,Ceilings!$S$3*$F14,Ceilings!$S$3*14+Ceilings!$S$4*($F14-14))))))</f>
        <v/>
      </c>
      <c r="O14" s="185" t="str">
        <f>IF(OR(ISBLANK(D14),ISBLANK(H14),ISBLANK(K14),ISBLANK(L14)),"",IF(L14="0–9 km",0,IF(I14&lt;15,Ceilings!$S$3*I14,Ceilings!$S$3*14+Ceilings!$S$4*(I14-14))))</f>
        <v/>
      </c>
      <c r="P14" s="183" t="str">
        <f t="shared" si="4"/>
        <v/>
      </c>
      <c r="Q14" s="436"/>
      <c r="R14" s="266" t="str">
        <f>IF(OR(ISBLANK($D14),ISBLANK($K14),ISBLANK(Q14)),"",Ceilings!$V$3*Q14)</f>
        <v/>
      </c>
      <c r="S14" s="72" t="str">
        <f t="shared" si="1"/>
        <v/>
      </c>
    </row>
    <row r="15" spans="1:258" ht="15.75" customHeight="1">
      <c r="A15" s="506"/>
      <c r="B15" s="51" t="str">
        <f>IF(ISBLANK(A15),"",VLOOKUP(A15,Management!$A$11:$C$25,2,0))</f>
        <v/>
      </c>
      <c r="C15" s="433"/>
      <c r="D15" s="421"/>
      <c r="E15" s="433"/>
      <c r="F15" s="434"/>
      <c r="G15" s="95" t="str">
        <f t="shared" si="2"/>
        <v/>
      </c>
      <c r="H15" s="435"/>
      <c r="I15" s="434"/>
      <c r="J15" s="95" t="str">
        <f t="shared" si="3"/>
        <v/>
      </c>
      <c r="K15" s="81"/>
      <c r="L15" s="362"/>
      <c r="M15" s="256" t="str">
        <f t="shared" si="0"/>
        <v/>
      </c>
      <c r="N15" s="184" t="str">
        <f>IF(OR(ISBLANK($D15),ISBLANK($K15),ISBLANK($L15)),"",IF($L15="0–9 km",0,IF(LEFT($D15,4)="Long",VLOOKUP($K15,Subsistence,2,0)*14+VLOOKUP($K15,Subsistence,3,0)*46+VLOOKUP($K15,Subsistence,4,0)*($F15-60),IF(RIGHT($D15,8)="students",IF($F15&lt;15,Ceilings!$S$6*$F15,Ceilings!$S$6*14+Ceilings!$S$7*($F15-14)),IF($F15&lt;15,Ceilings!$S$3*$F15,Ceilings!$S$3*14+Ceilings!$S$4*($F15-14))))))</f>
        <v/>
      </c>
      <c r="O15" s="185" t="str">
        <f>IF(OR(ISBLANK(D15),ISBLANK(H15),ISBLANK(K15),ISBLANK(L15)),"",IF(L15="0–9 km",0,IF(I15&lt;15,Ceilings!$S$3*I15,Ceilings!$S$3*14+Ceilings!$S$4*(I15-14))))</f>
        <v/>
      </c>
      <c r="P15" s="183" t="str">
        <f t="shared" si="4"/>
        <v/>
      </c>
      <c r="Q15" s="436"/>
      <c r="R15" s="266" t="str">
        <f>IF(OR(ISBLANK($D15),ISBLANK($K15),ISBLANK(Q15)),"",Ceilings!$V$3*Q15)</f>
        <v/>
      </c>
      <c r="S15" s="72" t="str">
        <f t="shared" si="1"/>
        <v/>
      </c>
    </row>
    <row r="16" spans="1:258" ht="15.75" customHeight="1">
      <c r="A16" s="506"/>
      <c r="B16" s="51" t="str">
        <f>IF(ISBLANK(A16),"",VLOOKUP(A16,Management!$A$11:$C$25,2,0))</f>
        <v/>
      </c>
      <c r="C16" s="433"/>
      <c r="D16" s="421"/>
      <c r="E16" s="433"/>
      <c r="F16" s="434"/>
      <c r="G16" s="95" t="str">
        <f t="shared" si="2"/>
        <v/>
      </c>
      <c r="H16" s="435"/>
      <c r="I16" s="434"/>
      <c r="J16" s="95" t="str">
        <f t="shared" si="3"/>
        <v/>
      </c>
      <c r="K16" s="81"/>
      <c r="L16" s="362"/>
      <c r="M16" s="256" t="str">
        <f t="shared" si="0"/>
        <v/>
      </c>
      <c r="N16" s="184" t="str">
        <f>IF(OR(ISBLANK($D16),ISBLANK($K16),ISBLANK($L16)),"",IF($L16="0–9 km",0,IF(LEFT($D16,4)="Long",VLOOKUP($K16,Subsistence,2,0)*14+VLOOKUP($K16,Subsistence,3,0)*46+VLOOKUP($K16,Subsistence,4,0)*($F16-60),IF(RIGHT($D16,8)="students",IF($F16&lt;15,Ceilings!$S$6*$F16,Ceilings!$S$6*14+Ceilings!$S$7*($F16-14)),IF($F16&lt;15,Ceilings!$S$3*$F16,Ceilings!$S$3*14+Ceilings!$S$4*($F16-14))))))</f>
        <v/>
      </c>
      <c r="O16" s="185" t="str">
        <f>IF(OR(ISBLANK(D16),ISBLANK(H16),ISBLANK(K16),ISBLANK(L16)),"",IF(L16="0–9 km",0,IF(I16&lt;15,Ceilings!$S$3*I16,Ceilings!$S$3*14+Ceilings!$S$4*(I16-14))))</f>
        <v/>
      </c>
      <c r="P16" s="183" t="str">
        <f t="shared" si="4"/>
        <v/>
      </c>
      <c r="Q16" s="436"/>
      <c r="R16" s="266" t="str">
        <f>IF(OR(ISBLANK($D16),ISBLANK($K16),ISBLANK(Q16)),"",Ceilings!$V$3*Q16)</f>
        <v/>
      </c>
      <c r="S16" s="72" t="str">
        <f t="shared" si="1"/>
        <v/>
      </c>
    </row>
    <row r="17" spans="1:19" ht="15.75" customHeight="1">
      <c r="A17" s="506"/>
      <c r="B17" s="51" t="str">
        <f>IF(ISBLANK(A17),"",VLOOKUP(A17,Management!$A$11:$C$25,2,0))</f>
        <v/>
      </c>
      <c r="C17" s="433"/>
      <c r="D17" s="421"/>
      <c r="E17" s="433"/>
      <c r="F17" s="434"/>
      <c r="G17" s="95" t="str">
        <f t="shared" si="2"/>
        <v/>
      </c>
      <c r="H17" s="435"/>
      <c r="I17" s="434"/>
      <c r="J17" s="95" t="str">
        <f t="shared" si="3"/>
        <v/>
      </c>
      <c r="K17" s="81"/>
      <c r="L17" s="362"/>
      <c r="M17" s="256" t="str">
        <f t="shared" si="0"/>
        <v/>
      </c>
      <c r="N17" s="184" t="str">
        <f>IF(OR(ISBLANK($D17),ISBLANK($K17),ISBLANK($L17)),"",IF($L17="0–9 km",0,IF(LEFT($D17,4)="Long",VLOOKUP($K17,Subsistence,2,0)*14+VLOOKUP($K17,Subsistence,3,0)*46+VLOOKUP($K17,Subsistence,4,0)*($F17-60),IF(RIGHT($D17,8)="students",IF($F17&lt;15,Ceilings!$S$6*$F17,Ceilings!$S$6*14+Ceilings!$S$7*($F17-14)),IF($F17&lt;15,Ceilings!$S$3*$F17,Ceilings!$S$3*14+Ceilings!$S$4*($F17-14))))))</f>
        <v/>
      </c>
      <c r="O17" s="185" t="str">
        <f>IF(OR(ISBLANK(D17),ISBLANK(H17),ISBLANK(K17),ISBLANK(L17)),"",IF(L17="0–9 km",0,IF(I17&lt;15,Ceilings!$S$3*I17,Ceilings!$S$3*14+Ceilings!$S$4*(I17-14))))</f>
        <v/>
      </c>
      <c r="P17" s="183" t="str">
        <f t="shared" si="4"/>
        <v/>
      </c>
      <c r="Q17" s="436"/>
      <c r="R17" s="266" t="str">
        <f>IF(OR(ISBLANK($D17),ISBLANK($K17),ISBLANK(Q17)),"",Ceilings!$V$3*Q17)</f>
        <v/>
      </c>
      <c r="S17" s="72" t="str">
        <f t="shared" si="1"/>
        <v/>
      </c>
    </row>
    <row r="18" spans="1:19" ht="15.75" customHeight="1">
      <c r="A18" s="506"/>
      <c r="B18" s="51" t="str">
        <f>IF(ISBLANK(A18),"",VLOOKUP(A18,Management!$A$11:$C$25,2,0))</f>
        <v/>
      </c>
      <c r="C18" s="433"/>
      <c r="D18" s="421"/>
      <c r="E18" s="433"/>
      <c r="F18" s="434"/>
      <c r="G18" s="95" t="str">
        <f t="shared" si="2"/>
        <v/>
      </c>
      <c r="H18" s="435"/>
      <c r="I18" s="434"/>
      <c r="J18" s="95" t="str">
        <f t="shared" si="3"/>
        <v/>
      </c>
      <c r="K18" s="81"/>
      <c r="L18" s="362"/>
      <c r="M18" s="256" t="str">
        <f t="shared" si="0"/>
        <v/>
      </c>
      <c r="N18" s="184" t="str">
        <f>IF(OR(ISBLANK($D18),ISBLANK($K18),ISBLANK($L18)),"",IF($L18="0–9 km",0,IF(LEFT($D18,4)="Long",VLOOKUP($K18,Subsistence,2,0)*14+VLOOKUP($K18,Subsistence,3,0)*46+VLOOKUP($K18,Subsistence,4,0)*($F18-60),IF(RIGHT($D18,8)="students",IF($F18&lt;15,Ceilings!$S$6*$F18,Ceilings!$S$6*14+Ceilings!$S$7*($F18-14)),IF($F18&lt;15,Ceilings!$S$3*$F18,Ceilings!$S$3*14+Ceilings!$S$4*($F18-14))))))</f>
        <v/>
      </c>
      <c r="O18" s="185" t="str">
        <f>IF(OR(ISBLANK(D18),ISBLANK(H18),ISBLANK(K18),ISBLANK(L18)),"",IF(L18="0–9 km",0,IF(I18&lt;15,Ceilings!$S$3*I18,Ceilings!$S$3*14+Ceilings!$S$4*(I18-14))))</f>
        <v/>
      </c>
      <c r="P18" s="183" t="str">
        <f t="shared" si="4"/>
        <v/>
      </c>
      <c r="Q18" s="436"/>
      <c r="R18" s="266" t="str">
        <f>IF(OR(ISBLANK($D18),ISBLANK($K18),ISBLANK(Q18)),"",Ceilings!$V$3*Q18)</f>
        <v/>
      </c>
      <c r="S18" s="72" t="str">
        <f t="shared" si="1"/>
        <v/>
      </c>
    </row>
    <row r="19" spans="1:19" ht="15.75" customHeight="1">
      <c r="A19" s="506"/>
      <c r="B19" s="51" t="str">
        <f>IF(ISBLANK(A19),"",VLOOKUP(A19,Management!$A$11:$C$25,2,0))</f>
        <v/>
      </c>
      <c r="C19" s="433"/>
      <c r="D19" s="421"/>
      <c r="E19" s="433"/>
      <c r="F19" s="434"/>
      <c r="G19" s="95" t="str">
        <f t="shared" si="2"/>
        <v/>
      </c>
      <c r="H19" s="435"/>
      <c r="I19" s="434"/>
      <c r="J19" s="95" t="str">
        <f t="shared" si="3"/>
        <v/>
      </c>
      <c r="K19" s="81"/>
      <c r="L19" s="362"/>
      <c r="M19" s="256" t="str">
        <f t="shared" si="0"/>
        <v/>
      </c>
      <c r="N19" s="184" t="str">
        <f>IF(OR(ISBLANK($D19),ISBLANK($K19),ISBLANK($L19)),"",IF($L19="0–9 km",0,IF(LEFT($D19,4)="Long",VLOOKUP($K19,Subsistence,2,0)*14+VLOOKUP($K19,Subsistence,3,0)*46+VLOOKUP($K19,Subsistence,4,0)*($F19-60),IF(RIGHT($D19,8)="students",IF($F19&lt;15,Ceilings!$S$6*$F19,Ceilings!$S$6*14+Ceilings!$S$7*($F19-14)),IF($F19&lt;15,Ceilings!$S$3*$F19,Ceilings!$S$3*14+Ceilings!$S$4*($F19-14))))))</f>
        <v/>
      </c>
      <c r="O19" s="185" t="str">
        <f>IF(OR(ISBLANK(D19),ISBLANK(H19),ISBLANK(K19),ISBLANK(L19)),"",IF(L19="0–9 km",0,IF(I19&lt;15,Ceilings!$S$3*I19,Ceilings!$S$3*14+Ceilings!$S$4*(I19-14))))</f>
        <v/>
      </c>
      <c r="P19" s="183" t="str">
        <f t="shared" si="4"/>
        <v/>
      </c>
      <c r="Q19" s="436"/>
      <c r="R19" s="266" t="str">
        <f>IF(OR(ISBLANK($D19),ISBLANK($K19),ISBLANK(Q19)),"",Ceilings!$V$3*Q19)</f>
        <v/>
      </c>
      <c r="S19" s="72" t="str">
        <f t="shared" si="1"/>
        <v/>
      </c>
    </row>
    <row r="20" spans="1:19" ht="15.75" customHeight="1">
      <c r="A20" s="506"/>
      <c r="B20" s="51" t="str">
        <f>IF(ISBLANK(A20),"",VLOOKUP(A20,Management!$A$11:$C$25,2,0))</f>
        <v/>
      </c>
      <c r="C20" s="433"/>
      <c r="D20" s="421"/>
      <c r="E20" s="433"/>
      <c r="F20" s="434"/>
      <c r="G20" s="95" t="str">
        <f t="shared" si="2"/>
        <v/>
      </c>
      <c r="H20" s="435"/>
      <c r="I20" s="434"/>
      <c r="J20" s="95" t="str">
        <f t="shared" si="3"/>
        <v/>
      </c>
      <c r="K20" s="81"/>
      <c r="L20" s="362"/>
      <c r="M20" s="256" t="str">
        <f t="shared" si="0"/>
        <v/>
      </c>
      <c r="N20" s="184" t="str">
        <f>IF(OR(ISBLANK($D20),ISBLANK($K20),ISBLANK($L20)),"",IF($L20="0–9 km",0,IF(LEFT($D20,4)="Long",VLOOKUP($K20,Subsistence,2,0)*14+VLOOKUP($K20,Subsistence,3,0)*46+VLOOKUP($K20,Subsistence,4,0)*($F20-60),IF(RIGHT($D20,8)="students",IF($F20&lt;15,Ceilings!$S$6*$F20,Ceilings!$S$6*14+Ceilings!$S$7*($F20-14)),IF($F20&lt;15,Ceilings!$S$3*$F20,Ceilings!$S$3*14+Ceilings!$S$4*($F20-14))))))</f>
        <v/>
      </c>
      <c r="O20" s="185" t="str">
        <f>IF(OR(ISBLANK(D20),ISBLANK(H20),ISBLANK(K20),ISBLANK(L20)),"",IF(L20="0–9 km",0,IF(I20&lt;15,Ceilings!$S$3*I20,Ceilings!$S$3*14+Ceilings!$S$4*(I20-14))))</f>
        <v/>
      </c>
      <c r="P20" s="183" t="str">
        <f t="shared" si="4"/>
        <v/>
      </c>
      <c r="Q20" s="436"/>
      <c r="R20" s="266" t="str">
        <f>IF(OR(ISBLANK($D20),ISBLANK($K20),ISBLANK(Q20)),"",Ceilings!$V$3*Q20)</f>
        <v/>
      </c>
      <c r="S20" s="72" t="str">
        <f t="shared" si="1"/>
        <v/>
      </c>
    </row>
    <row r="21" spans="1:19" ht="15.75" customHeight="1">
      <c r="A21" s="506"/>
      <c r="B21" s="51" t="str">
        <f>IF(ISBLANK(A21),"",VLOOKUP(A21,Management!$A$11:$C$25,2,0))</f>
        <v/>
      </c>
      <c r="C21" s="433"/>
      <c r="D21" s="421"/>
      <c r="E21" s="433"/>
      <c r="F21" s="434"/>
      <c r="G21" s="95" t="str">
        <f t="shared" si="2"/>
        <v/>
      </c>
      <c r="H21" s="435"/>
      <c r="I21" s="434"/>
      <c r="J21" s="95" t="str">
        <f t="shared" si="3"/>
        <v/>
      </c>
      <c r="K21" s="81"/>
      <c r="L21" s="362"/>
      <c r="M21" s="256" t="str">
        <f t="shared" si="0"/>
        <v/>
      </c>
      <c r="N21" s="184" t="str">
        <f>IF(OR(ISBLANK($D21),ISBLANK($K21),ISBLANK($L21)),"",IF($L21="0–9 km",0,IF(LEFT($D21,4)="Long",VLOOKUP($K21,Subsistence,2,0)*14+VLOOKUP($K21,Subsistence,3,0)*46+VLOOKUP($K21,Subsistence,4,0)*($F21-60),IF(RIGHT($D21,8)="students",IF($F21&lt;15,Ceilings!$S$6*$F21,Ceilings!$S$6*14+Ceilings!$S$7*($F21-14)),IF($F21&lt;15,Ceilings!$S$3*$F21,Ceilings!$S$3*14+Ceilings!$S$4*($F21-14))))))</f>
        <v/>
      </c>
      <c r="O21" s="185" t="str">
        <f>IF(OR(ISBLANK(D21),ISBLANK(H21),ISBLANK(K21),ISBLANK(L21)),"",IF(L21="0–9 km",0,IF(I21&lt;15,Ceilings!$S$3*I21,Ceilings!$S$3*14+Ceilings!$S$4*(I21-14))))</f>
        <v/>
      </c>
      <c r="P21" s="183" t="str">
        <f t="shared" si="4"/>
        <v/>
      </c>
      <c r="Q21" s="436"/>
      <c r="R21" s="266" t="str">
        <f>IF(OR(ISBLANK($D21),ISBLANK($K21),ISBLANK(Q21)),"",Ceilings!$V$3*Q21)</f>
        <v/>
      </c>
      <c r="S21" s="72" t="str">
        <f t="shared" si="1"/>
        <v/>
      </c>
    </row>
    <row r="22" spans="1:19" ht="15.75" customHeight="1">
      <c r="A22" s="506"/>
      <c r="B22" s="51" t="str">
        <f>IF(ISBLANK(A22),"",VLOOKUP(A22,Management!$A$11:$C$25,2,0))</f>
        <v/>
      </c>
      <c r="C22" s="433"/>
      <c r="D22" s="421"/>
      <c r="E22" s="433"/>
      <c r="F22" s="434"/>
      <c r="G22" s="95" t="str">
        <f t="shared" si="2"/>
        <v/>
      </c>
      <c r="H22" s="435"/>
      <c r="I22" s="434"/>
      <c r="J22" s="95" t="str">
        <f t="shared" si="3"/>
        <v/>
      </c>
      <c r="K22" s="81"/>
      <c r="L22" s="362"/>
      <c r="M22" s="256" t="str">
        <f t="shared" si="0"/>
        <v/>
      </c>
      <c r="N22" s="184" t="str">
        <f>IF(OR(ISBLANK($D22),ISBLANK($K22),ISBLANK($L22)),"",IF($L22="0–9 km",0,IF(LEFT($D22,4)="Long",VLOOKUP($K22,Subsistence,2,0)*14+VLOOKUP($K22,Subsistence,3,0)*46+VLOOKUP($K22,Subsistence,4,0)*($F22-60),IF(RIGHT($D22,8)="students",IF($F22&lt;15,Ceilings!$S$6*$F22,Ceilings!$S$6*14+Ceilings!$S$7*($F22-14)),IF($F22&lt;15,Ceilings!$S$3*$F22,Ceilings!$S$3*14+Ceilings!$S$4*($F22-14))))))</f>
        <v/>
      </c>
      <c r="O22" s="185" t="str">
        <f>IF(OR(ISBLANK(D22),ISBLANK(H22),ISBLANK(K22),ISBLANK(L22)),"",IF(L22="0–9 km",0,IF(I22&lt;15,Ceilings!$S$3*I22,Ceilings!$S$3*14+Ceilings!$S$4*(I22-14))))</f>
        <v/>
      </c>
      <c r="P22" s="183" t="str">
        <f t="shared" si="4"/>
        <v/>
      </c>
      <c r="Q22" s="436"/>
      <c r="R22" s="266" t="str">
        <f>IF(OR(ISBLANK($D22),ISBLANK($K22),ISBLANK(Q22)),"",Ceilings!$V$3*Q22)</f>
        <v/>
      </c>
      <c r="S22" s="72" t="str">
        <f t="shared" si="1"/>
        <v/>
      </c>
    </row>
    <row r="23" spans="1:19" ht="15.75" customHeight="1">
      <c r="A23" s="506"/>
      <c r="B23" s="51" t="str">
        <f>IF(ISBLANK(A23),"",VLOOKUP(A23,Management!$A$11:$C$25,2,0))</f>
        <v/>
      </c>
      <c r="C23" s="433"/>
      <c r="D23" s="421"/>
      <c r="E23" s="433"/>
      <c r="F23" s="434"/>
      <c r="G23" s="95" t="str">
        <f t="shared" si="2"/>
        <v/>
      </c>
      <c r="H23" s="435"/>
      <c r="I23" s="434"/>
      <c r="J23" s="95" t="str">
        <f t="shared" si="3"/>
        <v/>
      </c>
      <c r="K23" s="81"/>
      <c r="L23" s="362"/>
      <c r="M23" s="256" t="str">
        <f t="shared" si="0"/>
        <v/>
      </c>
      <c r="N23" s="184" t="str">
        <f>IF(OR(ISBLANK($D23),ISBLANK($K23),ISBLANK($L23)),"",IF($L23="0–9 km",0,IF(LEFT($D23,4)="Long",VLOOKUP($K23,Subsistence,2,0)*14+VLOOKUP($K23,Subsistence,3,0)*46+VLOOKUP($K23,Subsistence,4,0)*($F23-60),IF(RIGHT($D23,8)="students",IF($F23&lt;15,Ceilings!$S$6*$F23,Ceilings!$S$6*14+Ceilings!$S$7*($F23-14)),IF($F23&lt;15,Ceilings!$S$3*$F23,Ceilings!$S$3*14+Ceilings!$S$4*($F23-14))))))</f>
        <v/>
      </c>
      <c r="O23" s="185" t="str">
        <f>IF(OR(ISBLANK(D23),ISBLANK(H23),ISBLANK(K23),ISBLANK(L23)),"",IF(L23="0–9 km",0,IF(I23&lt;15,Ceilings!$S$3*I23,Ceilings!$S$3*14+Ceilings!$S$4*(I23-14))))</f>
        <v/>
      </c>
      <c r="P23" s="183" t="str">
        <f t="shared" si="4"/>
        <v/>
      </c>
      <c r="Q23" s="436"/>
      <c r="R23" s="266" t="str">
        <f>IF(OR(ISBLANK($D23),ISBLANK($K23),ISBLANK(Q23)),"",Ceilings!$V$3*Q23)</f>
        <v/>
      </c>
      <c r="S23" s="72" t="str">
        <f t="shared" si="1"/>
        <v/>
      </c>
    </row>
    <row r="24" spans="1:19" ht="15.75" customHeight="1">
      <c r="A24" s="506"/>
      <c r="B24" s="51" t="str">
        <f>IF(ISBLANK(A24),"",VLOOKUP(A24,Management!$A$11:$C$25,2,0))</f>
        <v/>
      </c>
      <c r="C24" s="433"/>
      <c r="D24" s="421"/>
      <c r="E24" s="433"/>
      <c r="F24" s="434"/>
      <c r="G24" s="95" t="str">
        <f t="shared" si="2"/>
        <v/>
      </c>
      <c r="H24" s="435"/>
      <c r="I24" s="434"/>
      <c r="J24" s="95" t="str">
        <f t="shared" si="3"/>
        <v/>
      </c>
      <c r="K24" s="81"/>
      <c r="L24" s="362"/>
      <c r="M24" s="256" t="str">
        <f t="shared" si="0"/>
        <v/>
      </c>
      <c r="N24" s="184" t="str">
        <f>IF(OR(ISBLANK($D24),ISBLANK($K24),ISBLANK($L24)),"",IF($L24="0–9 km",0,IF(LEFT($D24,4)="Long",VLOOKUP($K24,Subsistence,2,0)*14+VLOOKUP($K24,Subsistence,3,0)*46+VLOOKUP($K24,Subsistence,4,0)*($F24-60),IF(RIGHT($D24,8)="students",IF($F24&lt;15,Ceilings!$S$6*$F24,Ceilings!$S$6*14+Ceilings!$S$7*($F24-14)),IF($F24&lt;15,Ceilings!$S$3*$F24,Ceilings!$S$3*14+Ceilings!$S$4*($F24-14))))))</f>
        <v/>
      </c>
      <c r="O24" s="185" t="str">
        <f>IF(OR(ISBLANK(D24),ISBLANK(H24),ISBLANK(K24),ISBLANK(L24)),"",IF(L24="0–9 km",0,IF(I24&lt;15,Ceilings!$S$3*I24,Ceilings!$S$3*14+Ceilings!$S$4*(I24-14))))</f>
        <v/>
      </c>
      <c r="P24" s="183" t="str">
        <f t="shared" si="4"/>
        <v/>
      </c>
      <c r="Q24" s="436"/>
      <c r="R24" s="266" t="str">
        <f>IF(OR(ISBLANK($D24),ISBLANK($K24),ISBLANK(Q24)),"",Ceilings!$V$3*Q24)</f>
        <v/>
      </c>
      <c r="S24" s="72" t="str">
        <f t="shared" si="1"/>
        <v/>
      </c>
    </row>
    <row r="25" spans="1:19" ht="15.75" customHeight="1">
      <c r="A25" s="506"/>
      <c r="B25" s="51" t="str">
        <f>IF(ISBLANK(A25),"",VLOOKUP(A25,Management!$A$11:$C$25,2,0))</f>
        <v/>
      </c>
      <c r="C25" s="433"/>
      <c r="D25" s="421"/>
      <c r="E25" s="433"/>
      <c r="F25" s="434"/>
      <c r="G25" s="95" t="str">
        <f t="shared" si="2"/>
        <v/>
      </c>
      <c r="H25" s="435"/>
      <c r="I25" s="434"/>
      <c r="J25" s="95" t="str">
        <f t="shared" si="3"/>
        <v/>
      </c>
      <c r="K25" s="81"/>
      <c r="L25" s="362"/>
      <c r="M25" s="256" t="str">
        <f t="shared" si="0"/>
        <v/>
      </c>
      <c r="N25" s="184" t="str">
        <f>IF(OR(ISBLANK($D25),ISBLANK($K25),ISBLANK($L25)),"",IF($L25="0–9 km",0,IF(LEFT($D25,4)="Long",VLOOKUP($K25,Subsistence,2,0)*14+VLOOKUP($K25,Subsistence,3,0)*46+VLOOKUP($K25,Subsistence,4,0)*($F25-60),IF(RIGHT($D25,8)="students",IF($F25&lt;15,Ceilings!$S$6*$F25,Ceilings!$S$6*14+Ceilings!$S$7*($F25-14)),IF($F25&lt;15,Ceilings!$S$3*$F25,Ceilings!$S$3*14+Ceilings!$S$4*($F25-14))))))</f>
        <v/>
      </c>
      <c r="O25" s="185" t="str">
        <f>IF(OR(ISBLANK(D25),ISBLANK(H25),ISBLANK(K25),ISBLANK(L25)),"",IF(L25="0–9 km",0,IF(I25&lt;15,Ceilings!$S$3*I25,Ceilings!$S$3*14+Ceilings!$S$4*(I25-14))))</f>
        <v/>
      </c>
      <c r="P25" s="183" t="str">
        <f t="shared" si="4"/>
        <v/>
      </c>
      <c r="Q25" s="436"/>
      <c r="R25" s="266" t="str">
        <f>IF(OR(ISBLANK($D25),ISBLANK($K25),ISBLANK(Q25)),"",Ceilings!$V$3*Q25)</f>
        <v/>
      </c>
      <c r="S25" s="72" t="str">
        <f t="shared" si="1"/>
        <v/>
      </c>
    </row>
    <row r="26" spans="1:19" ht="15.75" customHeight="1">
      <c r="A26" s="506"/>
      <c r="B26" s="51" t="str">
        <f>IF(ISBLANK(A26),"",VLOOKUP(A26,Management!$A$11:$C$25,2,0))</f>
        <v/>
      </c>
      <c r="C26" s="433"/>
      <c r="D26" s="421"/>
      <c r="E26" s="433"/>
      <c r="F26" s="434"/>
      <c r="G26" s="95" t="str">
        <f t="shared" si="2"/>
        <v/>
      </c>
      <c r="H26" s="435"/>
      <c r="I26" s="434"/>
      <c r="J26" s="95" t="str">
        <f t="shared" si="3"/>
        <v/>
      </c>
      <c r="K26" s="81"/>
      <c r="L26" s="362"/>
      <c r="M26" s="256" t="str">
        <f t="shared" si="0"/>
        <v/>
      </c>
      <c r="N26" s="184" t="str">
        <f>IF(OR(ISBLANK($D26),ISBLANK($K26),ISBLANK($L26)),"",IF($L26="0–9 km",0,IF(LEFT($D26,4)="Long",VLOOKUP($K26,Subsistence,2,0)*14+VLOOKUP($K26,Subsistence,3,0)*46+VLOOKUP($K26,Subsistence,4,0)*($F26-60),IF(RIGHT($D26,8)="students",IF($F26&lt;15,Ceilings!$S$6*$F26,Ceilings!$S$6*14+Ceilings!$S$7*($F26-14)),IF($F26&lt;15,Ceilings!$S$3*$F26,Ceilings!$S$3*14+Ceilings!$S$4*($F26-14))))))</f>
        <v/>
      </c>
      <c r="O26" s="185" t="str">
        <f>IF(OR(ISBLANK(D26),ISBLANK(H26),ISBLANK(K26),ISBLANK(L26)),"",IF(L26="0–9 km",0,IF(I26&lt;15,Ceilings!$S$3*I26,Ceilings!$S$3*14+Ceilings!$S$4*(I26-14))))</f>
        <v/>
      </c>
      <c r="P26" s="183" t="str">
        <f t="shared" si="4"/>
        <v/>
      </c>
      <c r="Q26" s="436"/>
      <c r="R26" s="266" t="str">
        <f>IF(OR(ISBLANK($D26),ISBLANK($K26),ISBLANK(Q26)),"",Ceilings!$V$3*Q26)</f>
        <v/>
      </c>
      <c r="S26" s="72" t="str">
        <f t="shared" si="1"/>
        <v/>
      </c>
    </row>
    <row r="27" spans="1:19" ht="15.75" customHeight="1">
      <c r="A27" s="506"/>
      <c r="B27" s="51" t="str">
        <f>IF(ISBLANK(A27),"",VLOOKUP(A27,Management!$A$11:$C$25,2,0))</f>
        <v/>
      </c>
      <c r="C27" s="433"/>
      <c r="D27" s="421"/>
      <c r="E27" s="433"/>
      <c r="F27" s="434"/>
      <c r="G27" s="95" t="str">
        <f t="shared" si="2"/>
        <v/>
      </c>
      <c r="H27" s="435"/>
      <c r="I27" s="434"/>
      <c r="J27" s="95" t="str">
        <f t="shared" si="3"/>
        <v/>
      </c>
      <c r="K27" s="81"/>
      <c r="L27" s="362"/>
      <c r="M27" s="256" t="str">
        <f t="shared" si="0"/>
        <v/>
      </c>
      <c r="N27" s="184" t="str">
        <f>IF(OR(ISBLANK($D27),ISBLANK($K27),ISBLANK($L27)),"",IF($L27="0–9 km",0,IF(LEFT($D27,4)="Long",VLOOKUP($K27,Subsistence,2,0)*14+VLOOKUP($K27,Subsistence,3,0)*46+VLOOKUP($K27,Subsistence,4,0)*($F27-60),IF(RIGHT($D27,8)="students",IF($F27&lt;15,Ceilings!$S$6*$F27,Ceilings!$S$6*14+Ceilings!$S$7*($F27-14)),IF($F27&lt;15,Ceilings!$S$3*$F27,Ceilings!$S$3*14+Ceilings!$S$4*($F27-14))))))</f>
        <v/>
      </c>
      <c r="O27" s="185" t="str">
        <f>IF(OR(ISBLANK(D27),ISBLANK(H27),ISBLANK(K27),ISBLANK(L27)),"",IF(L27="0–9 km",0,IF(I27&lt;15,Ceilings!$S$3*I27,Ceilings!$S$3*14+Ceilings!$S$4*(I27-14))))</f>
        <v/>
      </c>
      <c r="P27" s="183" t="str">
        <f t="shared" si="4"/>
        <v/>
      </c>
      <c r="Q27" s="436"/>
      <c r="R27" s="266" t="str">
        <f>IF(OR(ISBLANK($D27),ISBLANK($K27),ISBLANK(Q27)),"",Ceilings!$V$3*Q27)</f>
        <v/>
      </c>
      <c r="S27" s="72" t="str">
        <f t="shared" si="1"/>
        <v/>
      </c>
    </row>
    <row r="28" spans="1:19" ht="15.75" customHeight="1">
      <c r="A28" s="506"/>
      <c r="B28" s="51" t="str">
        <f>IF(ISBLANK(A28),"",VLOOKUP(A28,Management!$A$11:$C$25,2,0))</f>
        <v/>
      </c>
      <c r="C28" s="433"/>
      <c r="D28" s="421"/>
      <c r="E28" s="433"/>
      <c r="F28" s="434"/>
      <c r="G28" s="95" t="str">
        <f t="shared" si="2"/>
        <v/>
      </c>
      <c r="H28" s="435"/>
      <c r="I28" s="434"/>
      <c r="J28" s="95" t="str">
        <f t="shared" si="3"/>
        <v/>
      </c>
      <c r="K28" s="81"/>
      <c r="L28" s="362"/>
      <c r="M28" s="256" t="str">
        <f t="shared" si="0"/>
        <v/>
      </c>
      <c r="N28" s="184" t="str">
        <f>IF(OR(ISBLANK($D28),ISBLANK($K28),ISBLANK($L28)),"",IF($L28="0–9 km",0,IF(LEFT($D28,4)="Long",VLOOKUP($K28,Subsistence,2,0)*14+VLOOKUP($K28,Subsistence,3,0)*46+VLOOKUP($K28,Subsistence,4,0)*($F28-60),IF(RIGHT($D28,8)="students",IF($F28&lt;15,Ceilings!$S$6*$F28,Ceilings!$S$6*14+Ceilings!$S$7*($F28-14)),IF($F28&lt;15,Ceilings!$S$3*$F28,Ceilings!$S$3*14+Ceilings!$S$4*($F28-14))))))</f>
        <v/>
      </c>
      <c r="O28" s="185" t="str">
        <f>IF(OR(ISBLANK(D28),ISBLANK(H28),ISBLANK(K28),ISBLANK(L28)),"",IF(L28="0–9 km",0,IF(I28&lt;15,Ceilings!$S$3*I28,Ceilings!$S$3*14+Ceilings!$S$4*(I28-14))))</f>
        <v/>
      </c>
      <c r="P28" s="183" t="str">
        <f t="shared" si="4"/>
        <v/>
      </c>
      <c r="Q28" s="436"/>
      <c r="R28" s="266" t="str">
        <f>IF(OR(ISBLANK($D28),ISBLANK($K28),ISBLANK(Q28)),"",Ceilings!$V$3*Q28)</f>
        <v/>
      </c>
      <c r="S28" s="72" t="str">
        <f t="shared" si="1"/>
        <v/>
      </c>
    </row>
    <row r="29" spans="1:19" ht="15.75" customHeight="1">
      <c r="A29" s="506"/>
      <c r="B29" s="51" t="str">
        <f>IF(ISBLANK(A29),"",VLOOKUP(A29,Management!$A$11:$C$25,2,0))</f>
        <v/>
      </c>
      <c r="C29" s="433"/>
      <c r="D29" s="421"/>
      <c r="E29" s="433"/>
      <c r="F29" s="434"/>
      <c r="G29" s="95" t="str">
        <f t="shared" si="2"/>
        <v/>
      </c>
      <c r="H29" s="435"/>
      <c r="I29" s="434"/>
      <c r="J29" s="95" t="str">
        <f t="shared" si="3"/>
        <v/>
      </c>
      <c r="K29" s="81"/>
      <c r="L29" s="362"/>
      <c r="M29" s="256" t="str">
        <f t="shared" si="0"/>
        <v/>
      </c>
      <c r="N29" s="184" t="str">
        <f>IF(OR(ISBLANK($D29),ISBLANK($K29),ISBLANK($L29)),"",IF($L29="0–9 km",0,IF(LEFT($D29,4)="Long",VLOOKUP($K29,Subsistence,2,0)*14+VLOOKUP($K29,Subsistence,3,0)*46+VLOOKUP($K29,Subsistence,4,0)*($F29-60),IF(RIGHT($D29,8)="students",IF($F29&lt;15,Ceilings!$S$6*$F29,Ceilings!$S$6*14+Ceilings!$S$7*($F29-14)),IF($F29&lt;15,Ceilings!$S$3*$F29,Ceilings!$S$3*14+Ceilings!$S$4*($F29-14))))))</f>
        <v/>
      </c>
      <c r="O29" s="185" t="str">
        <f>IF(OR(ISBLANK(D29),ISBLANK(H29),ISBLANK(K29),ISBLANK(L29)),"",IF(L29="0–9 km",0,IF(I29&lt;15,Ceilings!$S$3*I29,Ceilings!$S$3*14+Ceilings!$S$4*(I29-14))))</f>
        <v/>
      </c>
      <c r="P29" s="183" t="str">
        <f t="shared" si="4"/>
        <v/>
      </c>
      <c r="Q29" s="436"/>
      <c r="R29" s="266" t="str">
        <f>IF(OR(ISBLANK($D29),ISBLANK($K29),ISBLANK(Q29)),"",Ceilings!$V$3*Q29)</f>
        <v/>
      </c>
      <c r="S29" s="72" t="str">
        <f t="shared" si="1"/>
        <v/>
      </c>
    </row>
    <row r="30" spans="1:19" ht="15.75" customHeight="1">
      <c r="A30" s="506"/>
      <c r="B30" s="51" t="str">
        <f>IF(ISBLANK(A30),"",VLOOKUP(A30,Management!$A$11:$C$25,2,0))</f>
        <v/>
      </c>
      <c r="C30" s="433"/>
      <c r="D30" s="421"/>
      <c r="E30" s="433"/>
      <c r="F30" s="434"/>
      <c r="G30" s="95" t="str">
        <f t="shared" si="2"/>
        <v/>
      </c>
      <c r="H30" s="435"/>
      <c r="I30" s="434"/>
      <c r="J30" s="95" t="str">
        <f t="shared" si="3"/>
        <v/>
      </c>
      <c r="K30" s="81"/>
      <c r="L30" s="362"/>
      <c r="M30" s="256" t="str">
        <f t="shared" si="0"/>
        <v/>
      </c>
      <c r="N30" s="184" t="str">
        <f>IF(OR(ISBLANK($D30),ISBLANK($K30),ISBLANK($L30)),"",IF($L30="0–9 km",0,IF(LEFT($D30,4)="Long",VLOOKUP($K30,Subsistence,2,0)*14+VLOOKUP($K30,Subsistence,3,0)*46+VLOOKUP($K30,Subsistence,4,0)*($F30-60),IF(RIGHT($D30,8)="students",IF($F30&lt;15,Ceilings!$S$6*$F30,Ceilings!$S$6*14+Ceilings!$S$7*($F30-14)),IF($F30&lt;15,Ceilings!$S$3*$F30,Ceilings!$S$3*14+Ceilings!$S$4*($F30-14))))))</f>
        <v/>
      </c>
      <c r="O30" s="185" t="str">
        <f>IF(OR(ISBLANK(D30),ISBLANK(H30),ISBLANK(K30),ISBLANK(L30)),"",IF(L30="0–9 km",0,IF(I30&lt;15,Ceilings!$S$3*I30,Ceilings!$S$3*14+Ceilings!$S$4*(I30-14))))</f>
        <v/>
      </c>
      <c r="P30" s="183" t="str">
        <f t="shared" si="4"/>
        <v/>
      </c>
      <c r="Q30" s="436"/>
      <c r="R30" s="266" t="str">
        <f>IF(OR(ISBLANK($D30),ISBLANK($K30),ISBLANK(Q30)),"",Ceilings!$V$3*Q30)</f>
        <v/>
      </c>
      <c r="S30" s="72" t="str">
        <f t="shared" si="1"/>
        <v/>
      </c>
    </row>
    <row r="31" spans="1:19" ht="15.75" customHeight="1">
      <c r="A31" s="506"/>
      <c r="B31" s="51" t="str">
        <f>IF(ISBLANK(A31),"",VLOOKUP(A31,Management!$A$11:$C$25,2,0))</f>
        <v/>
      </c>
      <c r="C31" s="433"/>
      <c r="D31" s="421"/>
      <c r="E31" s="433"/>
      <c r="F31" s="434"/>
      <c r="G31" s="95" t="str">
        <f t="shared" si="2"/>
        <v/>
      </c>
      <c r="H31" s="435"/>
      <c r="I31" s="434"/>
      <c r="J31" s="95" t="str">
        <f t="shared" si="3"/>
        <v/>
      </c>
      <c r="K31" s="81"/>
      <c r="L31" s="362"/>
      <c r="M31" s="256" t="str">
        <f t="shared" si="0"/>
        <v/>
      </c>
      <c r="N31" s="184" t="str">
        <f>IF(OR(ISBLANK($D31),ISBLANK($K31),ISBLANK($L31)),"",IF($L31="0–9 km",0,IF(LEFT($D31,4)="Long",VLOOKUP($K31,Subsistence,2,0)*14+VLOOKUP($K31,Subsistence,3,0)*46+VLOOKUP($K31,Subsistence,4,0)*($F31-60),IF(RIGHT($D31,8)="students",IF($F31&lt;15,Ceilings!$S$6*$F31,Ceilings!$S$6*14+Ceilings!$S$7*($F31-14)),IF($F31&lt;15,Ceilings!$S$3*$F31,Ceilings!$S$3*14+Ceilings!$S$4*($F31-14))))))</f>
        <v/>
      </c>
      <c r="O31" s="185" t="str">
        <f>IF(OR(ISBLANK(D31),ISBLANK(H31),ISBLANK(K31),ISBLANK(L31)),"",IF(L31="0–9 km",0,IF(I31&lt;15,Ceilings!$S$3*I31,Ceilings!$S$3*14+Ceilings!$S$4*(I31-14))))</f>
        <v/>
      </c>
      <c r="P31" s="183" t="str">
        <f t="shared" si="4"/>
        <v/>
      </c>
      <c r="Q31" s="436"/>
      <c r="R31" s="266" t="str">
        <f>IF(OR(ISBLANK($D31),ISBLANK($K31),ISBLANK(Q31)),"",Ceilings!$V$3*Q31)</f>
        <v/>
      </c>
      <c r="S31" s="72" t="str">
        <f t="shared" si="1"/>
        <v/>
      </c>
    </row>
    <row r="32" spans="1:19" ht="15.75" customHeight="1">
      <c r="A32" s="506"/>
      <c r="B32" s="51" t="str">
        <f>IF(ISBLANK(A32),"",VLOOKUP(A32,Management!$A$11:$C$25,2,0))</f>
        <v/>
      </c>
      <c r="C32" s="433"/>
      <c r="D32" s="421"/>
      <c r="E32" s="433"/>
      <c r="F32" s="434"/>
      <c r="G32" s="95" t="str">
        <f t="shared" si="2"/>
        <v/>
      </c>
      <c r="H32" s="435"/>
      <c r="I32" s="434"/>
      <c r="J32" s="95" t="str">
        <f t="shared" si="3"/>
        <v/>
      </c>
      <c r="K32" s="81"/>
      <c r="L32" s="362"/>
      <c r="M32" s="256" t="str">
        <f t="shared" si="0"/>
        <v/>
      </c>
      <c r="N32" s="184" t="str">
        <f>IF(OR(ISBLANK($D32),ISBLANK($K32),ISBLANK($L32)),"",IF($L32="0–9 km",0,IF(LEFT($D32,4)="Long",VLOOKUP($K32,Subsistence,2,0)*14+VLOOKUP($K32,Subsistence,3,0)*46+VLOOKUP($K32,Subsistence,4,0)*($F32-60),IF(RIGHT($D32,8)="students",IF($F32&lt;15,Ceilings!$S$6*$F32,Ceilings!$S$6*14+Ceilings!$S$7*($F32-14)),IF($F32&lt;15,Ceilings!$S$3*$F32,Ceilings!$S$3*14+Ceilings!$S$4*($F32-14))))))</f>
        <v/>
      </c>
      <c r="O32" s="185" t="str">
        <f>IF(OR(ISBLANK(D32),ISBLANK(H32),ISBLANK(K32),ISBLANK(L32)),"",IF(L32="0–9 km",0,IF(I32&lt;15,Ceilings!$S$3*I32,Ceilings!$S$3*14+Ceilings!$S$4*(I32-14))))</f>
        <v/>
      </c>
      <c r="P32" s="183" t="str">
        <f t="shared" si="4"/>
        <v/>
      </c>
      <c r="Q32" s="436"/>
      <c r="R32" s="266" t="str">
        <f>IF(OR(ISBLANK($D32),ISBLANK($K32),ISBLANK(Q32)),"",Ceilings!$V$3*Q32)</f>
        <v/>
      </c>
      <c r="S32" s="72" t="str">
        <f t="shared" si="1"/>
        <v/>
      </c>
    </row>
    <row r="33" spans="1:19" ht="15.75" customHeight="1">
      <c r="A33" s="506"/>
      <c r="B33" s="51" t="str">
        <f>IF(ISBLANK(A33),"",VLOOKUP(A33,Management!$A$11:$C$25,2,0))</f>
        <v/>
      </c>
      <c r="C33" s="433"/>
      <c r="D33" s="421"/>
      <c r="E33" s="433"/>
      <c r="F33" s="434"/>
      <c r="G33" s="95" t="str">
        <f t="shared" si="2"/>
        <v/>
      </c>
      <c r="H33" s="435"/>
      <c r="I33" s="434"/>
      <c r="J33" s="95" t="str">
        <f t="shared" si="3"/>
        <v/>
      </c>
      <c r="K33" s="81"/>
      <c r="L33" s="362"/>
      <c r="M33" s="256" t="str">
        <f t="shared" si="0"/>
        <v/>
      </c>
      <c r="N33" s="184" t="str">
        <f>IF(OR(ISBLANK($D33),ISBLANK($K33),ISBLANK($L33)),"",IF($L33="0–9 km",0,IF(LEFT($D33,4)="Long",VLOOKUP($K33,Subsistence,2,0)*14+VLOOKUP($K33,Subsistence,3,0)*46+VLOOKUP($K33,Subsistence,4,0)*($F33-60),IF(RIGHT($D33,8)="students",IF($F33&lt;15,Ceilings!$S$6*$F33,Ceilings!$S$6*14+Ceilings!$S$7*($F33-14)),IF($F33&lt;15,Ceilings!$S$3*$F33,Ceilings!$S$3*14+Ceilings!$S$4*($F33-14))))))</f>
        <v/>
      </c>
      <c r="O33" s="185" t="str">
        <f>IF(OR(ISBLANK(D33),ISBLANK(H33),ISBLANK(K33),ISBLANK(L33)),"",IF(L33="0–9 km",0,IF(I33&lt;15,Ceilings!$S$3*I33,Ceilings!$S$3*14+Ceilings!$S$4*(I33-14))))</f>
        <v/>
      </c>
      <c r="P33" s="183" t="str">
        <f t="shared" si="4"/>
        <v/>
      </c>
      <c r="Q33" s="436"/>
      <c r="R33" s="266" t="str">
        <f>IF(OR(ISBLANK($D33),ISBLANK($K33),ISBLANK(Q33)),"",Ceilings!$V$3*Q33)</f>
        <v/>
      </c>
      <c r="S33" s="72" t="str">
        <f t="shared" si="1"/>
        <v/>
      </c>
    </row>
    <row r="34" spans="1:19" ht="15.75" customHeight="1">
      <c r="A34" s="506"/>
      <c r="B34" s="51" t="str">
        <f>IF(ISBLANK(A34),"",VLOOKUP(A34,Management!$A$11:$C$25,2,0))</f>
        <v/>
      </c>
      <c r="C34" s="433"/>
      <c r="D34" s="421"/>
      <c r="E34" s="433"/>
      <c r="F34" s="434"/>
      <c r="G34" s="95" t="str">
        <f t="shared" si="2"/>
        <v/>
      </c>
      <c r="H34" s="435"/>
      <c r="I34" s="434"/>
      <c r="J34" s="95" t="str">
        <f t="shared" si="3"/>
        <v/>
      </c>
      <c r="K34" s="81"/>
      <c r="L34" s="362"/>
      <c r="M34" s="256" t="str">
        <f t="shared" si="0"/>
        <v/>
      </c>
      <c r="N34" s="184" t="str">
        <f>IF(OR(ISBLANK($D34),ISBLANK($K34),ISBLANK($L34)),"",IF($L34="0–9 km",0,IF(LEFT($D34,4)="Long",VLOOKUP($K34,Subsistence,2,0)*14+VLOOKUP($K34,Subsistence,3,0)*46+VLOOKUP($K34,Subsistence,4,0)*($F34-60),IF(RIGHT($D34,8)="students",IF($F34&lt;15,Ceilings!$S$6*$F34,Ceilings!$S$6*14+Ceilings!$S$7*($F34-14)),IF($F34&lt;15,Ceilings!$S$3*$F34,Ceilings!$S$3*14+Ceilings!$S$4*($F34-14))))))</f>
        <v/>
      </c>
      <c r="O34" s="185" t="str">
        <f>IF(OR(ISBLANK(D34),ISBLANK(H34),ISBLANK(K34),ISBLANK(L34)),"",IF(L34="0–9 km",0,IF(I34&lt;15,Ceilings!$S$3*I34,Ceilings!$S$3*14+Ceilings!$S$4*(I34-14))))</f>
        <v/>
      </c>
      <c r="P34" s="183" t="str">
        <f t="shared" si="4"/>
        <v/>
      </c>
      <c r="Q34" s="436"/>
      <c r="R34" s="266" t="str">
        <f>IF(OR(ISBLANK($D34),ISBLANK($K34),ISBLANK(Q34)),"",Ceilings!$V$3*Q34)</f>
        <v/>
      </c>
      <c r="S34" s="72" t="str">
        <f t="shared" si="1"/>
        <v/>
      </c>
    </row>
    <row r="35" spans="1:19" ht="15.75" customHeight="1">
      <c r="A35" s="506"/>
      <c r="B35" s="51" t="str">
        <f>IF(ISBLANK(A35),"",VLOOKUP(A35,Management!$A$11:$C$25,2,0))</f>
        <v/>
      </c>
      <c r="C35" s="433"/>
      <c r="D35" s="421"/>
      <c r="E35" s="433"/>
      <c r="F35" s="434"/>
      <c r="G35" s="95" t="str">
        <f t="shared" si="2"/>
        <v/>
      </c>
      <c r="H35" s="435"/>
      <c r="I35" s="434"/>
      <c r="J35" s="95" t="str">
        <f t="shared" si="3"/>
        <v/>
      </c>
      <c r="K35" s="81"/>
      <c r="L35" s="362"/>
      <c r="M35" s="256" t="str">
        <f t="shared" si="0"/>
        <v/>
      </c>
      <c r="N35" s="184" t="str">
        <f>IF(OR(ISBLANK($D35),ISBLANK($K35),ISBLANK($L35)),"",IF($L35="0–9 km",0,IF(LEFT($D35,4)="Long",VLOOKUP($K35,Subsistence,2,0)*14+VLOOKUP($K35,Subsistence,3,0)*46+VLOOKUP($K35,Subsistence,4,0)*($F35-60),IF(RIGHT($D35,8)="students",IF($F35&lt;15,Ceilings!$S$6*$F35,Ceilings!$S$6*14+Ceilings!$S$7*($F35-14)),IF($F35&lt;15,Ceilings!$S$3*$F35,Ceilings!$S$3*14+Ceilings!$S$4*($F35-14))))))</f>
        <v/>
      </c>
      <c r="O35" s="185" t="str">
        <f>IF(OR(ISBLANK(D35),ISBLANK(H35),ISBLANK(K35),ISBLANK(L35)),"",IF(L35="0–9 km",0,IF(I35&lt;15,Ceilings!$S$3*I35,Ceilings!$S$3*14+Ceilings!$S$4*(I35-14))))</f>
        <v/>
      </c>
      <c r="P35" s="183" t="str">
        <f t="shared" si="4"/>
        <v/>
      </c>
      <c r="Q35" s="436"/>
      <c r="R35" s="266" t="str">
        <f>IF(OR(ISBLANK($D35),ISBLANK($K35),ISBLANK(Q35)),"",Ceilings!$V$3*Q35)</f>
        <v/>
      </c>
      <c r="S35" s="72" t="str">
        <f t="shared" si="1"/>
        <v/>
      </c>
    </row>
    <row r="36" spans="1:19" ht="15.75" customHeight="1">
      <c r="A36" s="506"/>
      <c r="B36" s="51" t="str">
        <f>IF(ISBLANK(A36),"",VLOOKUP(A36,Management!$A$11:$C$25,2,0))</f>
        <v/>
      </c>
      <c r="C36" s="433"/>
      <c r="D36" s="421"/>
      <c r="E36" s="433"/>
      <c r="F36" s="434"/>
      <c r="G36" s="95" t="str">
        <f t="shared" si="2"/>
        <v/>
      </c>
      <c r="H36" s="435"/>
      <c r="I36" s="434"/>
      <c r="J36" s="95" t="str">
        <f t="shared" si="3"/>
        <v/>
      </c>
      <c r="K36" s="81"/>
      <c r="L36" s="362"/>
      <c r="M36" s="256" t="str">
        <f t="shared" si="0"/>
        <v/>
      </c>
      <c r="N36" s="184" t="str">
        <f>IF(OR(ISBLANK($D36),ISBLANK($K36),ISBLANK($L36)),"",IF($L36="0–9 km",0,IF(LEFT($D36,4)="Long",VLOOKUP($K36,Subsistence,2,0)*14+VLOOKUP($K36,Subsistence,3,0)*46+VLOOKUP($K36,Subsistence,4,0)*($F36-60),IF(RIGHT($D36,8)="students",IF($F36&lt;15,Ceilings!$S$6*$F36,Ceilings!$S$6*14+Ceilings!$S$7*($F36-14)),IF($F36&lt;15,Ceilings!$S$3*$F36,Ceilings!$S$3*14+Ceilings!$S$4*($F36-14))))))</f>
        <v/>
      </c>
      <c r="O36" s="185" t="str">
        <f>IF(OR(ISBLANK(D36),ISBLANK(H36),ISBLANK(K36),ISBLANK(L36)),"",IF(L36="0–9 km",0,IF(I36&lt;15,Ceilings!$S$3*I36,Ceilings!$S$3*14+Ceilings!$S$4*(I36-14))))</f>
        <v/>
      </c>
      <c r="P36" s="183" t="str">
        <f t="shared" si="4"/>
        <v/>
      </c>
      <c r="Q36" s="436"/>
      <c r="R36" s="266" t="str">
        <f>IF(OR(ISBLANK($D36),ISBLANK($K36),ISBLANK(Q36)),"",Ceilings!$V$3*Q36)</f>
        <v/>
      </c>
      <c r="S36" s="72" t="str">
        <f t="shared" si="1"/>
        <v/>
      </c>
    </row>
    <row r="37" spans="1:19" ht="15.75" customHeight="1">
      <c r="A37" s="506"/>
      <c r="B37" s="51" t="str">
        <f>IF(ISBLANK(A37),"",VLOOKUP(A37,Management!$A$11:$C$25,2,0))</f>
        <v/>
      </c>
      <c r="C37" s="433"/>
      <c r="D37" s="421"/>
      <c r="E37" s="433"/>
      <c r="F37" s="434"/>
      <c r="G37" s="95" t="str">
        <f t="shared" si="2"/>
        <v/>
      </c>
      <c r="H37" s="435"/>
      <c r="I37" s="434"/>
      <c r="J37" s="95" t="str">
        <f t="shared" si="3"/>
        <v/>
      </c>
      <c r="K37" s="81"/>
      <c r="L37" s="362"/>
      <c r="M37" s="256" t="str">
        <f t="shared" si="0"/>
        <v/>
      </c>
      <c r="N37" s="184" t="str">
        <f>IF(OR(ISBLANK($D37),ISBLANK($K37),ISBLANK($L37)),"",IF($L37="0–9 km",0,IF(LEFT($D37,4)="Long",VLOOKUP($K37,Subsistence,2,0)*14+VLOOKUP($K37,Subsistence,3,0)*46+VLOOKUP($K37,Subsistence,4,0)*($F37-60),IF(RIGHT($D37,8)="students",IF($F37&lt;15,Ceilings!$S$6*$F37,Ceilings!$S$6*14+Ceilings!$S$7*($F37-14)),IF($F37&lt;15,Ceilings!$S$3*$F37,Ceilings!$S$3*14+Ceilings!$S$4*($F37-14))))))</f>
        <v/>
      </c>
      <c r="O37" s="185" t="str">
        <f>IF(OR(ISBLANK(D37),ISBLANK(H37),ISBLANK(K37),ISBLANK(L37)),"",IF(L37="0–9 km",0,IF(I37&lt;15,Ceilings!$S$3*I37,Ceilings!$S$3*14+Ceilings!$S$4*(I37-14))))</f>
        <v/>
      </c>
      <c r="P37" s="183" t="str">
        <f t="shared" si="4"/>
        <v/>
      </c>
      <c r="Q37" s="436"/>
      <c r="R37" s="266" t="str">
        <f>IF(OR(ISBLANK($D37),ISBLANK($K37),ISBLANK(Q37)),"",Ceilings!$V$3*Q37)</f>
        <v/>
      </c>
      <c r="S37" s="72" t="str">
        <f t="shared" si="1"/>
        <v/>
      </c>
    </row>
    <row r="38" spans="1:19" ht="15.75" customHeight="1">
      <c r="A38" s="506"/>
      <c r="B38" s="51" t="str">
        <f>IF(ISBLANK(A38),"",VLOOKUP(A38,Management!$A$11:$C$25,2,0))</f>
        <v/>
      </c>
      <c r="C38" s="433"/>
      <c r="D38" s="421"/>
      <c r="E38" s="433"/>
      <c r="F38" s="434"/>
      <c r="G38" s="95" t="str">
        <f t="shared" si="2"/>
        <v/>
      </c>
      <c r="H38" s="435"/>
      <c r="I38" s="434"/>
      <c r="J38" s="95" t="str">
        <f t="shared" si="3"/>
        <v/>
      </c>
      <c r="K38" s="81"/>
      <c r="L38" s="362"/>
      <c r="M38" s="256" t="str">
        <f t="shared" si="0"/>
        <v/>
      </c>
      <c r="N38" s="184" t="str">
        <f>IF(OR(ISBLANK($D38),ISBLANK($K38),ISBLANK($L38)),"",IF($L38="0–9 km",0,IF(LEFT($D38,4)="Long",VLOOKUP($K38,Subsistence,2,0)*14+VLOOKUP($K38,Subsistence,3,0)*46+VLOOKUP($K38,Subsistence,4,0)*($F38-60),IF(RIGHT($D38,8)="students",IF($F38&lt;15,Ceilings!$S$6*$F38,Ceilings!$S$6*14+Ceilings!$S$7*($F38-14)),IF($F38&lt;15,Ceilings!$S$3*$F38,Ceilings!$S$3*14+Ceilings!$S$4*($F38-14))))))</f>
        <v/>
      </c>
      <c r="O38" s="185" t="str">
        <f>IF(OR(ISBLANK(D38),ISBLANK(H38),ISBLANK(K38),ISBLANK(L38)),"",IF(L38="0–9 km",0,IF(I38&lt;15,Ceilings!$S$3*I38,Ceilings!$S$3*14+Ceilings!$S$4*(I38-14))))</f>
        <v/>
      </c>
      <c r="P38" s="183" t="str">
        <f t="shared" si="4"/>
        <v/>
      </c>
      <c r="Q38" s="436"/>
      <c r="R38" s="266" t="str">
        <f>IF(OR(ISBLANK($D38),ISBLANK($K38),ISBLANK(Q38)),"",Ceilings!$V$3*Q38)</f>
        <v/>
      </c>
      <c r="S38" s="72" t="str">
        <f t="shared" si="1"/>
        <v/>
      </c>
    </row>
    <row r="39" spans="1:19" ht="15.75" customHeight="1">
      <c r="A39" s="506"/>
      <c r="B39" s="51" t="str">
        <f>IF(ISBLANK(A39),"",VLOOKUP(A39,Management!$A$11:$C$25,2,0))</f>
        <v/>
      </c>
      <c r="C39" s="433"/>
      <c r="D39" s="421"/>
      <c r="E39" s="433"/>
      <c r="F39" s="434"/>
      <c r="G39" s="95" t="str">
        <f t="shared" si="2"/>
        <v/>
      </c>
      <c r="H39" s="435"/>
      <c r="I39" s="434"/>
      <c r="J39" s="95" t="str">
        <f t="shared" si="3"/>
        <v/>
      </c>
      <c r="K39" s="81"/>
      <c r="L39" s="362"/>
      <c r="M39" s="256" t="str">
        <f t="shared" ref="M39:M70" si="5">IF(ISBLANK(L39),"",(E39+H39)*VLOOKUP(L39,TravelGrant,2,0))</f>
        <v/>
      </c>
      <c r="N39" s="184" t="str">
        <f>IF(OR(ISBLANK($D39),ISBLANK($K39),ISBLANK($L39)),"",IF($L39="0–9 km",0,IF(LEFT($D39,4)="Long",VLOOKUP($K39,Subsistence,2,0)*14+VLOOKUP($K39,Subsistence,3,0)*46+VLOOKUP($K39,Subsistence,4,0)*($F39-60),IF(RIGHT($D39,8)="students",IF($F39&lt;15,Ceilings!$S$6*$F39,Ceilings!$S$6*14+Ceilings!$S$7*($F39-14)),IF($F39&lt;15,Ceilings!$S$3*$F39,Ceilings!$S$3*14+Ceilings!$S$4*($F39-14))))))</f>
        <v/>
      </c>
      <c r="O39" s="185" t="str">
        <f>IF(OR(ISBLANK(D39),ISBLANK(H39),ISBLANK(K39),ISBLANK(L39)),"",IF(L39="0–9 km",0,IF(I39&lt;15,Ceilings!$S$3*I39,Ceilings!$S$3*14+Ceilings!$S$4*(I39-14))))</f>
        <v/>
      </c>
      <c r="P39" s="183" t="str">
        <f t="shared" si="4"/>
        <v/>
      </c>
      <c r="Q39" s="436"/>
      <c r="R39" s="266" t="str">
        <f>IF(OR(ISBLANK($D39),ISBLANK($K39),ISBLANK(Q39)),"",Ceilings!$V$3*Q39)</f>
        <v/>
      </c>
      <c r="S39" s="72" t="str">
        <f t="shared" ref="S39:S70" si="6">IF(ISBLANK($A39),"",IF(OR(ISBLANK($C39),ISBLANK($D39),ISBLANK($E39),ISBLANK($K39)),"Missing data",SUM($M39,$P39,$R39)))</f>
        <v/>
      </c>
    </row>
    <row r="40" spans="1:19" ht="15.75" customHeight="1">
      <c r="A40" s="506"/>
      <c r="B40" s="51" t="str">
        <f>IF(ISBLANK(A40),"",VLOOKUP(A40,Management!$A$11:$C$25,2,0))</f>
        <v/>
      </c>
      <c r="C40" s="433"/>
      <c r="D40" s="421"/>
      <c r="E40" s="433"/>
      <c r="F40" s="434"/>
      <c r="G40" s="95" t="str">
        <f t="shared" si="2"/>
        <v/>
      </c>
      <c r="H40" s="435"/>
      <c r="I40" s="434"/>
      <c r="J40" s="95" t="str">
        <f t="shared" si="3"/>
        <v/>
      </c>
      <c r="K40" s="81"/>
      <c r="L40" s="362"/>
      <c r="M40" s="256" t="str">
        <f t="shared" si="5"/>
        <v/>
      </c>
      <c r="N40" s="184" t="str">
        <f>IF(OR(ISBLANK($D40),ISBLANK($K40),ISBLANK($L40)),"",IF($L40="0–9 km",0,IF(LEFT($D40,4)="Long",VLOOKUP($K40,Subsistence,2,0)*14+VLOOKUP($K40,Subsistence,3,0)*46+VLOOKUP($K40,Subsistence,4,0)*($F40-60),IF(RIGHT($D40,8)="students",IF($F40&lt;15,Ceilings!$S$6*$F40,Ceilings!$S$6*14+Ceilings!$S$7*($F40-14)),IF($F40&lt;15,Ceilings!$S$3*$F40,Ceilings!$S$3*14+Ceilings!$S$4*($F40-14))))))</f>
        <v/>
      </c>
      <c r="O40" s="185" t="str">
        <f>IF(OR(ISBLANK(D40),ISBLANK(H40),ISBLANK(K40),ISBLANK(L40)),"",IF(L40="0–9 km",0,IF(I40&lt;15,Ceilings!$S$3*I40,Ceilings!$S$3*14+Ceilings!$S$4*(I40-14))))</f>
        <v/>
      </c>
      <c r="P40" s="183" t="str">
        <f t="shared" si="4"/>
        <v/>
      </c>
      <c r="Q40" s="436"/>
      <c r="R40" s="266" t="str">
        <f>IF(OR(ISBLANK($D40),ISBLANK($K40),ISBLANK(Q40)),"",Ceilings!$V$3*Q40)</f>
        <v/>
      </c>
      <c r="S40" s="72" t="str">
        <f t="shared" si="6"/>
        <v/>
      </c>
    </row>
    <row r="41" spans="1:19" ht="15.75" customHeight="1">
      <c r="A41" s="506"/>
      <c r="B41" s="51" t="str">
        <f>IF(ISBLANK(A41),"",VLOOKUP(A41,Management!$A$11:$C$25,2,0))</f>
        <v/>
      </c>
      <c r="C41" s="433"/>
      <c r="D41" s="421"/>
      <c r="E41" s="433"/>
      <c r="F41" s="434"/>
      <c r="G41" s="95" t="str">
        <f t="shared" si="2"/>
        <v/>
      </c>
      <c r="H41" s="435"/>
      <c r="I41" s="434"/>
      <c r="J41" s="95" t="str">
        <f t="shared" si="3"/>
        <v/>
      </c>
      <c r="K41" s="81"/>
      <c r="L41" s="362"/>
      <c r="M41" s="256" t="str">
        <f t="shared" si="5"/>
        <v/>
      </c>
      <c r="N41" s="184" t="str">
        <f>IF(OR(ISBLANK($D41),ISBLANK($K41),ISBLANK($L41)),"",IF($L41="0–9 km",0,IF(LEFT($D41,4)="Long",VLOOKUP($K41,Subsistence,2,0)*14+VLOOKUP($K41,Subsistence,3,0)*46+VLOOKUP($K41,Subsistence,4,0)*($F41-60),IF(RIGHT($D41,8)="students",IF($F41&lt;15,Ceilings!$S$6*$F41,Ceilings!$S$6*14+Ceilings!$S$7*($F41-14)),IF($F41&lt;15,Ceilings!$S$3*$F41,Ceilings!$S$3*14+Ceilings!$S$4*($F41-14))))))</f>
        <v/>
      </c>
      <c r="O41" s="185" t="str">
        <f>IF(OR(ISBLANK(D41),ISBLANK(H41),ISBLANK(K41),ISBLANK(L41)),"",IF(L41="0–9 km",0,IF(I41&lt;15,Ceilings!$S$3*I41,Ceilings!$S$3*14+Ceilings!$S$4*(I41-14))))</f>
        <v/>
      </c>
      <c r="P41" s="183" t="str">
        <f t="shared" si="4"/>
        <v/>
      </c>
      <c r="Q41" s="436"/>
      <c r="R41" s="266" t="str">
        <f>IF(OR(ISBLANK($D41),ISBLANK($K41),ISBLANK(Q41)),"",Ceilings!$V$3*Q41)</f>
        <v/>
      </c>
      <c r="S41" s="72" t="str">
        <f t="shared" si="6"/>
        <v/>
      </c>
    </row>
    <row r="42" spans="1:19" ht="15.75" customHeight="1">
      <c r="A42" s="506"/>
      <c r="B42" s="51" t="str">
        <f>IF(ISBLANK(A42),"",VLOOKUP(A42,Management!$A$11:$C$25,2,0))</f>
        <v/>
      </c>
      <c r="C42" s="433"/>
      <c r="D42" s="421"/>
      <c r="E42" s="433"/>
      <c r="F42" s="434"/>
      <c r="G42" s="95" t="str">
        <f t="shared" si="2"/>
        <v/>
      </c>
      <c r="H42" s="435"/>
      <c r="I42" s="434"/>
      <c r="J42" s="95" t="str">
        <f t="shared" si="3"/>
        <v/>
      </c>
      <c r="K42" s="81"/>
      <c r="L42" s="362"/>
      <c r="M42" s="256" t="str">
        <f t="shared" si="5"/>
        <v/>
      </c>
      <c r="N42" s="184" t="str">
        <f>IF(OR(ISBLANK($D42),ISBLANK($K42),ISBLANK($L42)),"",IF($L42="0–9 km",0,IF(LEFT($D42,4)="Long",VLOOKUP($K42,Subsistence,2,0)*14+VLOOKUP($K42,Subsistence,3,0)*46+VLOOKUP($K42,Subsistence,4,0)*($F42-60),IF(RIGHT($D42,8)="students",IF($F42&lt;15,Ceilings!$S$6*$F42,Ceilings!$S$6*14+Ceilings!$S$7*($F42-14)),IF($F42&lt;15,Ceilings!$S$3*$F42,Ceilings!$S$3*14+Ceilings!$S$4*($F42-14))))))</f>
        <v/>
      </c>
      <c r="O42" s="185" t="str">
        <f>IF(OR(ISBLANK(D42),ISBLANK(H42),ISBLANK(K42),ISBLANK(L42)),"",IF(L42="0–9 km",0,IF(I42&lt;15,Ceilings!$S$3*I42,Ceilings!$S$3*14+Ceilings!$S$4*(I42-14))))</f>
        <v/>
      </c>
      <c r="P42" s="183" t="str">
        <f t="shared" si="4"/>
        <v/>
      </c>
      <c r="Q42" s="436"/>
      <c r="R42" s="266" t="str">
        <f>IF(OR(ISBLANK($D42),ISBLANK($K42),ISBLANK(Q42)),"",Ceilings!$V$3*Q42)</f>
        <v/>
      </c>
      <c r="S42" s="72" t="str">
        <f t="shared" si="6"/>
        <v/>
      </c>
    </row>
    <row r="43" spans="1:19" ht="15.75" customHeight="1">
      <c r="A43" s="506"/>
      <c r="B43" s="51" t="str">
        <f>IF(ISBLANK(A43),"",VLOOKUP(A43,Management!$A$11:$C$25,2,0))</f>
        <v/>
      </c>
      <c r="C43" s="433"/>
      <c r="D43" s="421"/>
      <c r="E43" s="433"/>
      <c r="F43" s="434"/>
      <c r="G43" s="95" t="str">
        <f t="shared" si="2"/>
        <v/>
      </c>
      <c r="H43" s="435"/>
      <c r="I43" s="434"/>
      <c r="J43" s="95" t="str">
        <f t="shared" si="3"/>
        <v/>
      </c>
      <c r="K43" s="81"/>
      <c r="L43" s="362"/>
      <c r="M43" s="256" t="str">
        <f t="shared" si="5"/>
        <v/>
      </c>
      <c r="N43" s="184" t="str">
        <f>IF(OR(ISBLANK($D43),ISBLANK($K43),ISBLANK($L43)),"",IF($L43="0–9 km",0,IF(LEFT($D43,4)="Long",VLOOKUP($K43,Subsistence,2,0)*14+VLOOKUP($K43,Subsistence,3,0)*46+VLOOKUP($K43,Subsistence,4,0)*($F43-60),IF(RIGHT($D43,8)="students",IF($F43&lt;15,Ceilings!$S$6*$F43,Ceilings!$S$6*14+Ceilings!$S$7*($F43-14)),IF($F43&lt;15,Ceilings!$S$3*$F43,Ceilings!$S$3*14+Ceilings!$S$4*($F43-14))))))</f>
        <v/>
      </c>
      <c r="O43" s="185" t="str">
        <f>IF(OR(ISBLANK(D43),ISBLANK(H43),ISBLANK(K43),ISBLANK(L43)),"",IF(L43="0–9 km",0,IF(I43&lt;15,Ceilings!$S$3*I43,Ceilings!$S$3*14+Ceilings!$S$4*(I43-14))))</f>
        <v/>
      </c>
      <c r="P43" s="183" t="str">
        <f t="shared" si="4"/>
        <v/>
      </c>
      <c r="Q43" s="436"/>
      <c r="R43" s="266" t="str">
        <f>IF(OR(ISBLANK($D43),ISBLANK($K43),ISBLANK(Q43)),"",Ceilings!$V$3*Q43)</f>
        <v/>
      </c>
      <c r="S43" s="72" t="str">
        <f t="shared" si="6"/>
        <v/>
      </c>
    </row>
    <row r="44" spans="1:19" ht="15.75" customHeight="1">
      <c r="A44" s="506"/>
      <c r="B44" s="51" t="str">
        <f>IF(ISBLANK(A44),"",VLOOKUP(A44,Management!$A$11:$C$25,2,0))</f>
        <v/>
      </c>
      <c r="C44" s="433"/>
      <c r="D44" s="421"/>
      <c r="E44" s="433"/>
      <c r="F44" s="434"/>
      <c r="G44" s="95" t="str">
        <f t="shared" si="2"/>
        <v/>
      </c>
      <c r="H44" s="435"/>
      <c r="I44" s="434"/>
      <c r="J44" s="95" t="str">
        <f t="shared" si="3"/>
        <v/>
      </c>
      <c r="K44" s="81"/>
      <c r="L44" s="362"/>
      <c r="M44" s="256" t="str">
        <f t="shared" si="5"/>
        <v/>
      </c>
      <c r="N44" s="184" t="str">
        <f>IF(OR(ISBLANK($D44),ISBLANK($K44),ISBLANK($L44)),"",IF($L44="0–9 km",0,IF(LEFT($D44,4)="Long",VLOOKUP($K44,Subsistence,2,0)*14+VLOOKUP($K44,Subsistence,3,0)*46+VLOOKUP($K44,Subsistence,4,0)*($F44-60),IF(RIGHT($D44,8)="students",IF($F44&lt;15,Ceilings!$S$6*$F44,Ceilings!$S$6*14+Ceilings!$S$7*($F44-14)),IF($F44&lt;15,Ceilings!$S$3*$F44,Ceilings!$S$3*14+Ceilings!$S$4*($F44-14))))))</f>
        <v/>
      </c>
      <c r="O44" s="185" t="str">
        <f>IF(OR(ISBLANK(D44),ISBLANK(H44),ISBLANK(K44),ISBLANK(L44)),"",IF(L44="0–9 km",0,IF(I44&lt;15,Ceilings!$S$3*I44,Ceilings!$S$3*14+Ceilings!$S$4*(I44-14))))</f>
        <v/>
      </c>
      <c r="P44" s="183" t="str">
        <f t="shared" si="4"/>
        <v/>
      </c>
      <c r="Q44" s="436"/>
      <c r="R44" s="266" t="str">
        <f>IF(OR(ISBLANK($D44),ISBLANK($K44),ISBLANK(Q44)),"",Ceilings!$V$3*Q44)</f>
        <v/>
      </c>
      <c r="S44" s="72" t="str">
        <f t="shared" si="6"/>
        <v/>
      </c>
    </row>
    <row r="45" spans="1:19" ht="15.75" customHeight="1">
      <c r="A45" s="506"/>
      <c r="B45" s="51" t="str">
        <f>IF(ISBLANK(A45),"",VLOOKUP(A45,Management!$A$11:$C$25,2,0))</f>
        <v/>
      </c>
      <c r="C45" s="433"/>
      <c r="D45" s="421"/>
      <c r="E45" s="433"/>
      <c r="F45" s="434"/>
      <c r="G45" s="95" t="str">
        <f t="shared" si="2"/>
        <v/>
      </c>
      <c r="H45" s="435"/>
      <c r="I45" s="434"/>
      <c r="J45" s="95" t="str">
        <f t="shared" si="3"/>
        <v/>
      </c>
      <c r="K45" s="81"/>
      <c r="L45" s="362"/>
      <c r="M45" s="256" t="str">
        <f t="shared" si="5"/>
        <v/>
      </c>
      <c r="N45" s="184" t="str">
        <f>IF(OR(ISBLANK($D45),ISBLANK($K45),ISBLANK($L45)),"",IF($L45="0–9 km",0,IF(LEFT($D45,4)="Long",VLOOKUP($K45,Subsistence,2,0)*14+VLOOKUP($K45,Subsistence,3,0)*46+VLOOKUP($K45,Subsistence,4,0)*($F45-60),IF(RIGHT($D45,8)="students",IF($F45&lt;15,Ceilings!$S$6*$F45,Ceilings!$S$6*14+Ceilings!$S$7*($F45-14)),IF($F45&lt;15,Ceilings!$S$3*$F45,Ceilings!$S$3*14+Ceilings!$S$4*($F45-14))))))</f>
        <v/>
      </c>
      <c r="O45" s="185" t="str">
        <f>IF(OR(ISBLANK(D45),ISBLANK(H45),ISBLANK(K45),ISBLANK(L45)),"",IF(L45="0–9 km",0,IF(I45&lt;15,Ceilings!$S$3*I45,Ceilings!$S$3*14+Ceilings!$S$4*(I45-14))))</f>
        <v/>
      </c>
      <c r="P45" s="183" t="str">
        <f t="shared" si="4"/>
        <v/>
      </c>
      <c r="Q45" s="436"/>
      <c r="R45" s="266" t="str">
        <f>IF(OR(ISBLANK($D45),ISBLANK($K45),ISBLANK(Q45)),"",Ceilings!$V$3*Q45)</f>
        <v/>
      </c>
      <c r="S45" s="72" t="str">
        <f t="shared" si="6"/>
        <v/>
      </c>
    </row>
    <row r="46" spans="1:19" ht="15.75" customHeight="1">
      <c r="A46" s="506"/>
      <c r="B46" s="51" t="str">
        <f>IF(ISBLANK(A46),"",VLOOKUP(A46,Management!$A$11:$C$25,2,0))</f>
        <v/>
      </c>
      <c r="C46" s="433"/>
      <c r="D46" s="421"/>
      <c r="E46" s="433"/>
      <c r="F46" s="434"/>
      <c r="G46" s="95" t="str">
        <f t="shared" si="2"/>
        <v/>
      </c>
      <c r="H46" s="435"/>
      <c r="I46" s="434"/>
      <c r="J46" s="95" t="str">
        <f t="shared" si="3"/>
        <v/>
      </c>
      <c r="K46" s="81"/>
      <c r="L46" s="362"/>
      <c r="M46" s="256" t="str">
        <f t="shared" si="5"/>
        <v/>
      </c>
      <c r="N46" s="184" t="str">
        <f>IF(OR(ISBLANK($D46),ISBLANK($K46),ISBLANK($L46)),"",IF($L46="0–9 km",0,IF(LEFT($D46,4)="Long",VLOOKUP($K46,Subsistence,2,0)*14+VLOOKUP($K46,Subsistence,3,0)*46+VLOOKUP($K46,Subsistence,4,0)*($F46-60),IF(RIGHT($D46,8)="students",IF($F46&lt;15,Ceilings!$S$6*$F46,Ceilings!$S$6*14+Ceilings!$S$7*($F46-14)),IF($F46&lt;15,Ceilings!$S$3*$F46,Ceilings!$S$3*14+Ceilings!$S$4*($F46-14))))))</f>
        <v/>
      </c>
      <c r="O46" s="185" t="str">
        <f>IF(OR(ISBLANK(D46),ISBLANK(H46),ISBLANK(K46),ISBLANK(L46)),"",IF(L46="0–9 km",0,IF(I46&lt;15,Ceilings!$S$3*I46,Ceilings!$S$3*14+Ceilings!$S$4*(I46-14))))</f>
        <v/>
      </c>
      <c r="P46" s="183" t="str">
        <f t="shared" si="4"/>
        <v/>
      </c>
      <c r="Q46" s="436"/>
      <c r="R46" s="266" t="str">
        <f>IF(OR(ISBLANK($D46),ISBLANK($K46),ISBLANK(Q46)),"",Ceilings!$V$3*Q46)</f>
        <v/>
      </c>
      <c r="S46" s="72" t="str">
        <f t="shared" si="6"/>
        <v/>
      </c>
    </row>
    <row r="47" spans="1:19" ht="15.75" customHeight="1">
      <c r="A47" s="506"/>
      <c r="B47" s="51" t="str">
        <f>IF(ISBLANK(A47),"",VLOOKUP(A47,Management!$A$11:$C$25,2,0))</f>
        <v/>
      </c>
      <c r="C47" s="433"/>
      <c r="D47" s="421"/>
      <c r="E47" s="433"/>
      <c r="F47" s="434"/>
      <c r="G47" s="95" t="str">
        <f t="shared" si="2"/>
        <v/>
      </c>
      <c r="H47" s="435"/>
      <c r="I47" s="434"/>
      <c r="J47" s="95" t="str">
        <f t="shared" si="3"/>
        <v/>
      </c>
      <c r="K47" s="81"/>
      <c r="L47" s="362"/>
      <c r="M47" s="256" t="str">
        <f t="shared" si="5"/>
        <v/>
      </c>
      <c r="N47" s="184" t="str">
        <f>IF(OR(ISBLANK($D47),ISBLANK($K47),ISBLANK($L47)),"",IF($L47="0–9 km",0,IF(LEFT($D47,4)="Long",VLOOKUP($K47,Subsistence,2,0)*14+VLOOKUP($K47,Subsistence,3,0)*46+VLOOKUP($K47,Subsistence,4,0)*($F47-60),IF(RIGHT($D47,8)="students",IF($F47&lt;15,Ceilings!$S$6*$F47,Ceilings!$S$6*14+Ceilings!$S$7*($F47-14)),IF($F47&lt;15,Ceilings!$S$3*$F47,Ceilings!$S$3*14+Ceilings!$S$4*($F47-14))))))</f>
        <v/>
      </c>
      <c r="O47" s="185" t="str">
        <f>IF(OR(ISBLANK(D47),ISBLANK(H47),ISBLANK(K47),ISBLANK(L47)),"",IF(L47="0–9 km",0,IF(I47&lt;15,Ceilings!$S$3*I47,Ceilings!$S$3*14+Ceilings!$S$4*(I47-14))))</f>
        <v/>
      </c>
      <c r="P47" s="183" t="str">
        <f t="shared" si="4"/>
        <v/>
      </c>
      <c r="Q47" s="436"/>
      <c r="R47" s="266" t="str">
        <f>IF(OR(ISBLANK($D47),ISBLANK($K47),ISBLANK(Q47)),"",Ceilings!$V$3*Q47)</f>
        <v/>
      </c>
      <c r="S47" s="72" t="str">
        <f t="shared" si="6"/>
        <v/>
      </c>
    </row>
    <row r="48" spans="1:19" ht="15.75" customHeight="1">
      <c r="A48" s="506"/>
      <c r="B48" s="51" t="str">
        <f>IF(ISBLANK(A48),"",VLOOKUP(A48,Management!$A$11:$C$25,2,0))</f>
        <v/>
      </c>
      <c r="C48" s="433"/>
      <c r="D48" s="421"/>
      <c r="E48" s="433"/>
      <c r="F48" s="434"/>
      <c r="G48" s="95" t="str">
        <f t="shared" si="2"/>
        <v/>
      </c>
      <c r="H48" s="435"/>
      <c r="I48" s="434"/>
      <c r="J48" s="95" t="str">
        <f t="shared" si="3"/>
        <v/>
      </c>
      <c r="K48" s="81"/>
      <c r="L48" s="362"/>
      <c r="M48" s="256" t="str">
        <f t="shared" si="5"/>
        <v/>
      </c>
      <c r="N48" s="184" t="str">
        <f>IF(OR(ISBLANK($D48),ISBLANK($K48),ISBLANK($L48)),"",IF($L48="0–9 km",0,IF(LEFT($D48,4)="Long",VLOOKUP($K48,Subsistence,2,0)*14+VLOOKUP($K48,Subsistence,3,0)*46+VLOOKUP($K48,Subsistence,4,0)*($F48-60),IF(RIGHT($D48,8)="students",IF($F48&lt;15,Ceilings!$S$6*$F48,Ceilings!$S$6*14+Ceilings!$S$7*($F48-14)),IF($F48&lt;15,Ceilings!$S$3*$F48,Ceilings!$S$3*14+Ceilings!$S$4*($F48-14))))))</f>
        <v/>
      </c>
      <c r="O48" s="185" t="str">
        <f>IF(OR(ISBLANK(D48),ISBLANK(H48),ISBLANK(K48),ISBLANK(L48)),"",IF(L48="0–9 km",0,IF(I48&lt;15,Ceilings!$S$3*I48,Ceilings!$S$3*14+Ceilings!$S$4*(I48-14))))</f>
        <v/>
      </c>
      <c r="P48" s="183" t="str">
        <f t="shared" si="4"/>
        <v/>
      </c>
      <c r="Q48" s="436"/>
      <c r="R48" s="266" t="str">
        <f>IF(OR(ISBLANK($D48),ISBLANK($K48),ISBLANK(Q48)),"",Ceilings!$V$3*Q48)</f>
        <v/>
      </c>
      <c r="S48" s="72" t="str">
        <f t="shared" si="6"/>
        <v/>
      </c>
    </row>
    <row r="49" spans="1:19" ht="15.75" customHeight="1">
      <c r="A49" s="506"/>
      <c r="B49" s="51" t="str">
        <f>IF(ISBLANK(A49),"",VLOOKUP(A49,Management!$A$11:$C$25,2,0))</f>
        <v/>
      </c>
      <c r="C49" s="433"/>
      <c r="D49" s="421"/>
      <c r="E49" s="433"/>
      <c r="F49" s="434"/>
      <c r="G49" s="95" t="str">
        <f t="shared" si="2"/>
        <v/>
      </c>
      <c r="H49" s="435"/>
      <c r="I49" s="434"/>
      <c r="J49" s="95" t="str">
        <f t="shared" si="3"/>
        <v/>
      </c>
      <c r="K49" s="81"/>
      <c r="L49" s="362"/>
      <c r="M49" s="256" t="str">
        <f t="shared" si="5"/>
        <v/>
      </c>
      <c r="N49" s="184" t="str">
        <f>IF(OR(ISBLANK($D49),ISBLANK($K49),ISBLANK($L49)),"",IF($L49="0–9 km",0,IF(LEFT($D49,4)="Long",VLOOKUP($K49,Subsistence,2,0)*14+VLOOKUP($K49,Subsistence,3,0)*46+VLOOKUP($K49,Subsistence,4,0)*($F49-60),IF(RIGHT($D49,8)="students",IF($F49&lt;15,Ceilings!$S$6*$F49,Ceilings!$S$6*14+Ceilings!$S$7*($F49-14)),IF($F49&lt;15,Ceilings!$S$3*$F49,Ceilings!$S$3*14+Ceilings!$S$4*($F49-14))))))</f>
        <v/>
      </c>
      <c r="O49" s="185" t="str">
        <f>IF(OR(ISBLANK(D49),ISBLANK(H49),ISBLANK(K49),ISBLANK(L49)),"",IF(L49="0–9 km",0,IF(I49&lt;15,Ceilings!$S$3*I49,Ceilings!$S$3*14+Ceilings!$S$4*(I49-14))))</f>
        <v/>
      </c>
      <c r="P49" s="183" t="str">
        <f t="shared" si="4"/>
        <v/>
      </c>
      <c r="Q49" s="436"/>
      <c r="R49" s="266" t="str">
        <f>IF(OR(ISBLANK($D49),ISBLANK($K49),ISBLANK(Q49)),"",Ceilings!$V$3*Q49)</f>
        <v/>
      </c>
      <c r="S49" s="72" t="str">
        <f t="shared" si="6"/>
        <v/>
      </c>
    </row>
    <row r="50" spans="1:19" ht="15.75" customHeight="1">
      <c r="A50" s="506"/>
      <c r="B50" s="51" t="str">
        <f>IF(ISBLANK(A50),"",VLOOKUP(A50,Management!$A$11:$C$25,2,0))</f>
        <v/>
      </c>
      <c r="C50" s="433"/>
      <c r="D50" s="421"/>
      <c r="E50" s="433"/>
      <c r="F50" s="434"/>
      <c r="G50" s="95" t="str">
        <f t="shared" si="2"/>
        <v/>
      </c>
      <c r="H50" s="435"/>
      <c r="I50" s="434"/>
      <c r="J50" s="95" t="str">
        <f t="shared" si="3"/>
        <v/>
      </c>
      <c r="K50" s="81"/>
      <c r="L50" s="362"/>
      <c r="M50" s="256" t="str">
        <f t="shared" si="5"/>
        <v/>
      </c>
      <c r="N50" s="184" t="str">
        <f>IF(OR(ISBLANK($D50),ISBLANK($K50),ISBLANK($L50)),"",IF($L50="0–9 km",0,IF(LEFT($D50,4)="Long",VLOOKUP($K50,Subsistence,2,0)*14+VLOOKUP($K50,Subsistence,3,0)*46+VLOOKUP($K50,Subsistence,4,0)*($F50-60),IF(RIGHT($D50,8)="students",IF($F50&lt;15,Ceilings!$S$6*$F50,Ceilings!$S$6*14+Ceilings!$S$7*($F50-14)),IF($F50&lt;15,Ceilings!$S$3*$F50,Ceilings!$S$3*14+Ceilings!$S$4*($F50-14))))))</f>
        <v/>
      </c>
      <c r="O50" s="185" t="str">
        <f>IF(OR(ISBLANK(D50),ISBLANK(H50),ISBLANK(K50),ISBLANK(L50)),"",IF(L50="0–9 km",0,IF(I50&lt;15,Ceilings!$S$3*I50,Ceilings!$S$3*14+Ceilings!$S$4*(I50-14))))</f>
        <v/>
      </c>
      <c r="P50" s="183" t="str">
        <f t="shared" si="4"/>
        <v/>
      </c>
      <c r="Q50" s="436"/>
      <c r="R50" s="266" t="str">
        <f>IF(OR(ISBLANK($D50),ISBLANK($K50),ISBLANK(Q50)),"",Ceilings!$V$3*Q50)</f>
        <v/>
      </c>
      <c r="S50" s="72" t="str">
        <f t="shared" si="6"/>
        <v/>
      </c>
    </row>
    <row r="51" spans="1:19" ht="15.75" customHeight="1">
      <c r="A51" s="506"/>
      <c r="B51" s="51" t="str">
        <f>IF(ISBLANK(A51),"",VLOOKUP(A51,Management!$A$11:$C$25,2,0))</f>
        <v/>
      </c>
      <c r="C51" s="433"/>
      <c r="D51" s="421"/>
      <c r="E51" s="433"/>
      <c r="F51" s="434"/>
      <c r="G51" s="95" t="str">
        <f t="shared" si="2"/>
        <v/>
      </c>
      <c r="H51" s="435"/>
      <c r="I51" s="434"/>
      <c r="J51" s="95" t="str">
        <f t="shared" si="3"/>
        <v/>
      </c>
      <c r="K51" s="81"/>
      <c r="L51" s="362"/>
      <c r="M51" s="256" t="str">
        <f t="shared" si="5"/>
        <v/>
      </c>
      <c r="N51" s="184" t="str">
        <f>IF(OR(ISBLANK($D51),ISBLANK($K51),ISBLANK($L51)),"",IF($L51="0–9 km",0,IF(LEFT($D51,4)="Long",VLOOKUP($K51,Subsistence,2,0)*14+VLOOKUP($K51,Subsistence,3,0)*46+VLOOKUP($K51,Subsistence,4,0)*($F51-60),IF(RIGHT($D51,8)="students",IF($F51&lt;15,Ceilings!$S$6*$F51,Ceilings!$S$6*14+Ceilings!$S$7*($F51-14)),IF($F51&lt;15,Ceilings!$S$3*$F51,Ceilings!$S$3*14+Ceilings!$S$4*($F51-14))))))</f>
        <v/>
      </c>
      <c r="O51" s="185" t="str">
        <f>IF(OR(ISBLANK(D51),ISBLANK(H51),ISBLANK(K51),ISBLANK(L51)),"",IF(L51="0–9 km",0,IF(I51&lt;15,Ceilings!$S$3*I51,Ceilings!$S$3*14+Ceilings!$S$4*(I51-14))))</f>
        <v/>
      </c>
      <c r="P51" s="183" t="str">
        <f t="shared" si="4"/>
        <v/>
      </c>
      <c r="Q51" s="436"/>
      <c r="R51" s="266" t="str">
        <f>IF(OR(ISBLANK($D51),ISBLANK($K51),ISBLANK(Q51)),"",Ceilings!$V$3*Q51)</f>
        <v/>
      </c>
      <c r="S51" s="72" t="str">
        <f t="shared" si="6"/>
        <v/>
      </c>
    </row>
    <row r="52" spans="1:19" ht="15.75" customHeight="1">
      <c r="A52" s="506"/>
      <c r="B52" s="51" t="str">
        <f>IF(ISBLANK(A52),"",VLOOKUP(A52,Management!$A$11:$C$25,2,0))</f>
        <v/>
      </c>
      <c r="C52" s="433"/>
      <c r="D52" s="421"/>
      <c r="E52" s="433"/>
      <c r="F52" s="434"/>
      <c r="G52" s="95" t="str">
        <f t="shared" si="2"/>
        <v/>
      </c>
      <c r="H52" s="435"/>
      <c r="I52" s="434"/>
      <c r="J52" s="95" t="str">
        <f t="shared" si="3"/>
        <v/>
      </c>
      <c r="K52" s="81"/>
      <c r="L52" s="362"/>
      <c r="M52" s="256" t="str">
        <f t="shared" si="5"/>
        <v/>
      </c>
      <c r="N52" s="184" t="str">
        <f>IF(OR(ISBLANK($D52),ISBLANK($K52),ISBLANK($L52)),"",IF($L52="0–9 km",0,IF(LEFT($D52,4)="Long",VLOOKUP($K52,Subsistence,2,0)*14+VLOOKUP($K52,Subsistence,3,0)*46+VLOOKUP($K52,Subsistence,4,0)*($F52-60),IF(RIGHT($D52,8)="students",IF($F52&lt;15,Ceilings!$S$6*$F52,Ceilings!$S$6*14+Ceilings!$S$7*($F52-14)),IF($F52&lt;15,Ceilings!$S$3*$F52,Ceilings!$S$3*14+Ceilings!$S$4*($F52-14))))))</f>
        <v/>
      </c>
      <c r="O52" s="185" t="str">
        <f>IF(OR(ISBLANK(D52),ISBLANK(H52),ISBLANK(K52),ISBLANK(L52)),"",IF(L52="0–9 km",0,IF(I52&lt;15,Ceilings!$S$3*I52,Ceilings!$S$3*14+Ceilings!$S$4*(I52-14))))</f>
        <v/>
      </c>
      <c r="P52" s="183" t="str">
        <f t="shared" si="4"/>
        <v/>
      </c>
      <c r="Q52" s="436"/>
      <c r="R52" s="266" t="str">
        <f>IF(OR(ISBLANK($D52),ISBLANK($K52),ISBLANK(Q52)),"",Ceilings!$V$3*Q52)</f>
        <v/>
      </c>
      <c r="S52" s="72" t="str">
        <f t="shared" si="6"/>
        <v/>
      </c>
    </row>
    <row r="53" spans="1:19" ht="15.75" customHeight="1">
      <c r="A53" s="506"/>
      <c r="B53" s="51" t="str">
        <f>IF(ISBLANK(A53),"",VLOOKUP(A53,Management!$A$11:$C$25,2,0))</f>
        <v/>
      </c>
      <c r="C53" s="433"/>
      <c r="D53" s="421"/>
      <c r="E53" s="433"/>
      <c r="F53" s="434"/>
      <c r="G53" s="95" t="str">
        <f t="shared" si="2"/>
        <v/>
      </c>
      <c r="H53" s="435"/>
      <c r="I53" s="434"/>
      <c r="J53" s="95" t="str">
        <f t="shared" si="3"/>
        <v/>
      </c>
      <c r="K53" s="81"/>
      <c r="L53" s="362"/>
      <c r="M53" s="256" t="str">
        <f t="shared" si="5"/>
        <v/>
      </c>
      <c r="N53" s="184" t="str">
        <f>IF(OR(ISBLANK($D53),ISBLANK($K53),ISBLANK($L53)),"",IF($L53="0–9 km",0,IF(LEFT($D53,4)="Long",VLOOKUP($K53,Subsistence,2,0)*14+VLOOKUP($K53,Subsistence,3,0)*46+VLOOKUP($K53,Subsistence,4,0)*($F53-60),IF(RIGHT($D53,8)="students",IF($F53&lt;15,Ceilings!$S$6*$F53,Ceilings!$S$6*14+Ceilings!$S$7*($F53-14)),IF($F53&lt;15,Ceilings!$S$3*$F53,Ceilings!$S$3*14+Ceilings!$S$4*($F53-14))))))</f>
        <v/>
      </c>
      <c r="O53" s="185" t="str">
        <f>IF(OR(ISBLANK(D53),ISBLANK(H53),ISBLANK(K53),ISBLANK(L53)),"",IF(L53="0–9 km",0,IF(I53&lt;15,Ceilings!$S$3*I53,Ceilings!$S$3*14+Ceilings!$S$4*(I53-14))))</f>
        <v/>
      </c>
      <c r="P53" s="183" t="str">
        <f t="shared" si="4"/>
        <v/>
      </c>
      <c r="Q53" s="436"/>
      <c r="R53" s="266" t="str">
        <f>IF(OR(ISBLANK($D53),ISBLANK($K53),ISBLANK(Q53)),"",Ceilings!$V$3*Q53)</f>
        <v/>
      </c>
      <c r="S53" s="72" t="str">
        <f t="shared" si="6"/>
        <v/>
      </c>
    </row>
    <row r="54" spans="1:19" ht="15.75" customHeight="1">
      <c r="A54" s="506"/>
      <c r="B54" s="51" t="str">
        <f>IF(ISBLANK(A54),"",VLOOKUP(A54,Management!$A$11:$C$25,2,0))</f>
        <v/>
      </c>
      <c r="C54" s="433"/>
      <c r="D54" s="421"/>
      <c r="E54" s="433"/>
      <c r="F54" s="434"/>
      <c r="G54" s="95" t="str">
        <f t="shared" si="2"/>
        <v/>
      </c>
      <c r="H54" s="435"/>
      <c r="I54" s="434"/>
      <c r="J54" s="95" t="str">
        <f t="shared" si="3"/>
        <v/>
      </c>
      <c r="K54" s="81"/>
      <c r="L54" s="362"/>
      <c r="M54" s="256" t="str">
        <f t="shared" si="5"/>
        <v/>
      </c>
      <c r="N54" s="184" t="str">
        <f>IF(OR(ISBLANK($D54),ISBLANK($K54),ISBLANK($L54)),"",IF($L54="0–9 km",0,IF(LEFT($D54,4)="Long",VLOOKUP($K54,Subsistence,2,0)*14+VLOOKUP($K54,Subsistence,3,0)*46+VLOOKUP($K54,Subsistence,4,0)*($F54-60),IF(RIGHT($D54,8)="students",IF($F54&lt;15,Ceilings!$S$6*$F54,Ceilings!$S$6*14+Ceilings!$S$7*($F54-14)),IF($F54&lt;15,Ceilings!$S$3*$F54,Ceilings!$S$3*14+Ceilings!$S$4*($F54-14))))))</f>
        <v/>
      </c>
      <c r="O54" s="185" t="str">
        <f>IF(OR(ISBLANK(D54),ISBLANK(H54),ISBLANK(K54),ISBLANK(L54)),"",IF(L54="0–9 km",0,IF(I54&lt;15,Ceilings!$S$3*I54,Ceilings!$S$3*14+Ceilings!$S$4*(I54-14))))</f>
        <v/>
      </c>
      <c r="P54" s="183" t="str">
        <f t="shared" si="4"/>
        <v/>
      </c>
      <c r="Q54" s="436"/>
      <c r="R54" s="266" t="str">
        <f>IF(OR(ISBLANK($D54),ISBLANK($K54),ISBLANK(Q54)),"",Ceilings!$V$3*Q54)</f>
        <v/>
      </c>
      <c r="S54" s="72" t="str">
        <f t="shared" si="6"/>
        <v/>
      </c>
    </row>
    <row r="55" spans="1:19" ht="15.75" customHeight="1">
      <c r="A55" s="506"/>
      <c r="B55" s="51" t="str">
        <f>IF(ISBLANK(A55),"",VLOOKUP(A55,Management!$A$11:$C$25,2,0))</f>
        <v/>
      </c>
      <c r="C55" s="433"/>
      <c r="D55" s="421"/>
      <c r="E55" s="433"/>
      <c r="F55" s="434"/>
      <c r="G55" s="95" t="str">
        <f t="shared" si="2"/>
        <v/>
      </c>
      <c r="H55" s="435"/>
      <c r="I55" s="434"/>
      <c r="J55" s="95" t="str">
        <f t="shared" si="3"/>
        <v/>
      </c>
      <c r="K55" s="81"/>
      <c r="L55" s="362"/>
      <c r="M55" s="256" t="str">
        <f t="shared" si="5"/>
        <v/>
      </c>
      <c r="N55" s="184" t="str">
        <f>IF(OR(ISBLANK($D55),ISBLANK($K55),ISBLANK($L55)),"",IF($L55="0–9 km",0,IF(LEFT($D55,4)="Long",VLOOKUP($K55,Subsistence,2,0)*14+VLOOKUP($K55,Subsistence,3,0)*46+VLOOKUP($K55,Subsistence,4,0)*($F55-60),IF(RIGHT($D55,8)="students",IF($F55&lt;15,Ceilings!$S$6*$F55,Ceilings!$S$6*14+Ceilings!$S$7*($F55-14)),IF($F55&lt;15,Ceilings!$S$3*$F55,Ceilings!$S$3*14+Ceilings!$S$4*($F55-14))))))</f>
        <v/>
      </c>
      <c r="O55" s="185" t="str">
        <f>IF(OR(ISBLANK(D55),ISBLANK(H55),ISBLANK(K55),ISBLANK(L55)),"",IF(L55="0–9 km",0,IF(I55&lt;15,Ceilings!$S$3*I55,Ceilings!$S$3*14+Ceilings!$S$4*(I55-14))))</f>
        <v/>
      </c>
      <c r="P55" s="183" t="str">
        <f t="shared" si="4"/>
        <v/>
      </c>
      <c r="Q55" s="436"/>
      <c r="R55" s="266" t="str">
        <f>IF(OR(ISBLANK($D55),ISBLANK($K55),ISBLANK(Q55)),"",Ceilings!$V$3*Q55)</f>
        <v/>
      </c>
      <c r="S55" s="72" t="str">
        <f t="shared" si="6"/>
        <v/>
      </c>
    </row>
    <row r="56" spans="1:19" ht="15.75" customHeight="1">
      <c r="A56" s="506"/>
      <c r="B56" s="51" t="str">
        <f>IF(ISBLANK(A56),"",VLOOKUP(A56,Management!$A$11:$C$25,2,0))</f>
        <v/>
      </c>
      <c r="C56" s="433"/>
      <c r="D56" s="421"/>
      <c r="E56" s="433"/>
      <c r="F56" s="434"/>
      <c r="G56" s="95" t="str">
        <f t="shared" si="2"/>
        <v/>
      </c>
      <c r="H56" s="435"/>
      <c r="I56" s="434"/>
      <c r="J56" s="95" t="str">
        <f t="shared" si="3"/>
        <v/>
      </c>
      <c r="K56" s="81"/>
      <c r="L56" s="362"/>
      <c r="M56" s="256" t="str">
        <f t="shared" si="5"/>
        <v/>
      </c>
      <c r="N56" s="184" t="str">
        <f>IF(OR(ISBLANK($D56),ISBLANK($K56),ISBLANK($L56)),"",IF($L56="0–9 km",0,IF(LEFT($D56,4)="Long",VLOOKUP($K56,Subsistence,2,0)*14+VLOOKUP($K56,Subsistence,3,0)*46+VLOOKUP($K56,Subsistence,4,0)*($F56-60),IF(RIGHT($D56,8)="students",IF($F56&lt;15,Ceilings!$S$6*$F56,Ceilings!$S$6*14+Ceilings!$S$7*($F56-14)),IF($F56&lt;15,Ceilings!$S$3*$F56,Ceilings!$S$3*14+Ceilings!$S$4*($F56-14))))))</f>
        <v/>
      </c>
      <c r="O56" s="185" t="str">
        <f>IF(OR(ISBLANK(D56),ISBLANK(H56),ISBLANK(K56),ISBLANK(L56)),"",IF(L56="0–9 km",0,IF(I56&lt;15,Ceilings!$S$3*I56,Ceilings!$S$3*14+Ceilings!$S$4*(I56-14))))</f>
        <v/>
      </c>
      <c r="P56" s="183" t="str">
        <f t="shared" si="4"/>
        <v/>
      </c>
      <c r="Q56" s="436"/>
      <c r="R56" s="266" t="str">
        <f>IF(OR(ISBLANK($D56),ISBLANK($K56),ISBLANK(Q56)),"",Ceilings!$V$3*Q56)</f>
        <v/>
      </c>
      <c r="S56" s="72" t="str">
        <f t="shared" si="6"/>
        <v/>
      </c>
    </row>
    <row r="57" spans="1:19" ht="15.75" customHeight="1">
      <c r="A57" s="506"/>
      <c r="B57" s="51" t="str">
        <f>IF(ISBLANK(A57),"",VLOOKUP(A57,Management!$A$11:$C$25,2,0))</f>
        <v/>
      </c>
      <c r="C57" s="433"/>
      <c r="D57" s="421"/>
      <c r="E57" s="433"/>
      <c r="F57" s="434"/>
      <c r="G57" s="95" t="str">
        <f t="shared" si="2"/>
        <v/>
      </c>
      <c r="H57" s="435"/>
      <c r="I57" s="434"/>
      <c r="J57" s="95" t="str">
        <f t="shared" si="3"/>
        <v/>
      </c>
      <c r="K57" s="81"/>
      <c r="L57" s="362"/>
      <c r="M57" s="256" t="str">
        <f t="shared" si="5"/>
        <v/>
      </c>
      <c r="N57" s="184" t="str">
        <f>IF(OR(ISBLANK($D57),ISBLANK($K57),ISBLANK($L57)),"",IF($L57="0–9 km",0,IF(LEFT($D57,4)="Long",VLOOKUP($K57,Subsistence,2,0)*14+VLOOKUP($K57,Subsistence,3,0)*46+VLOOKUP($K57,Subsistence,4,0)*($F57-60),IF(RIGHT($D57,8)="students",IF($F57&lt;15,Ceilings!$S$6*$F57,Ceilings!$S$6*14+Ceilings!$S$7*($F57-14)),IF($F57&lt;15,Ceilings!$S$3*$F57,Ceilings!$S$3*14+Ceilings!$S$4*($F57-14))))))</f>
        <v/>
      </c>
      <c r="O57" s="185" t="str">
        <f>IF(OR(ISBLANK(D57),ISBLANK(H57),ISBLANK(K57),ISBLANK(L57)),"",IF(L57="0–9 km",0,IF(I57&lt;15,Ceilings!$S$3*I57,Ceilings!$S$3*14+Ceilings!$S$4*(I57-14))))</f>
        <v/>
      </c>
      <c r="P57" s="183" t="str">
        <f t="shared" si="4"/>
        <v/>
      </c>
      <c r="Q57" s="436"/>
      <c r="R57" s="266" t="str">
        <f>IF(OR(ISBLANK($D57),ISBLANK($K57),ISBLANK(Q57)),"",Ceilings!$V$3*Q57)</f>
        <v/>
      </c>
      <c r="S57" s="72" t="str">
        <f t="shared" si="6"/>
        <v/>
      </c>
    </row>
    <row r="58" spans="1:19" ht="15.75" customHeight="1">
      <c r="A58" s="506"/>
      <c r="B58" s="51" t="str">
        <f>IF(ISBLANK(A58),"",VLOOKUP(A58,Management!$A$11:$C$25,2,0))</f>
        <v/>
      </c>
      <c r="C58" s="433"/>
      <c r="D58" s="421"/>
      <c r="E58" s="433"/>
      <c r="F58" s="434"/>
      <c r="G58" s="95" t="str">
        <f t="shared" si="2"/>
        <v/>
      </c>
      <c r="H58" s="435"/>
      <c r="I58" s="434"/>
      <c r="J58" s="95" t="str">
        <f t="shared" si="3"/>
        <v/>
      </c>
      <c r="K58" s="81"/>
      <c r="L58" s="362"/>
      <c r="M58" s="256" t="str">
        <f t="shared" si="5"/>
        <v/>
      </c>
      <c r="N58" s="184" t="str">
        <f>IF(OR(ISBLANK($D58),ISBLANK($K58),ISBLANK($L58)),"",IF($L58="0–9 km",0,IF(LEFT($D58,4)="Long",VLOOKUP($K58,Subsistence,2,0)*14+VLOOKUP($K58,Subsistence,3,0)*46+VLOOKUP($K58,Subsistence,4,0)*($F58-60),IF(RIGHT($D58,8)="students",IF($F58&lt;15,Ceilings!$S$6*$F58,Ceilings!$S$6*14+Ceilings!$S$7*($F58-14)),IF($F58&lt;15,Ceilings!$S$3*$F58,Ceilings!$S$3*14+Ceilings!$S$4*($F58-14))))))</f>
        <v/>
      </c>
      <c r="O58" s="185" t="str">
        <f>IF(OR(ISBLANK(D58),ISBLANK(H58),ISBLANK(K58),ISBLANK(L58)),"",IF(L58="0–9 km",0,IF(I58&lt;15,Ceilings!$S$3*I58,Ceilings!$S$3*14+Ceilings!$S$4*(I58-14))))</f>
        <v/>
      </c>
      <c r="P58" s="183" t="str">
        <f t="shared" si="4"/>
        <v/>
      </c>
      <c r="Q58" s="436"/>
      <c r="R58" s="266" t="str">
        <f>IF(OR(ISBLANK($D58),ISBLANK($K58),ISBLANK(Q58)),"",Ceilings!$V$3*Q58)</f>
        <v/>
      </c>
      <c r="S58" s="72" t="str">
        <f t="shared" si="6"/>
        <v/>
      </c>
    </row>
    <row r="59" spans="1:19" ht="15.75" customHeight="1">
      <c r="A59" s="506"/>
      <c r="B59" s="51" t="str">
        <f>IF(ISBLANK(A59),"",VLOOKUP(A59,Management!$A$11:$C$25,2,0))</f>
        <v/>
      </c>
      <c r="C59" s="433"/>
      <c r="D59" s="421"/>
      <c r="E59" s="433"/>
      <c r="F59" s="434"/>
      <c r="G59" s="95" t="str">
        <f t="shared" si="2"/>
        <v/>
      </c>
      <c r="H59" s="435"/>
      <c r="I59" s="434"/>
      <c r="J59" s="95" t="str">
        <f t="shared" si="3"/>
        <v/>
      </c>
      <c r="K59" s="81"/>
      <c r="L59" s="362"/>
      <c r="M59" s="256" t="str">
        <f t="shared" si="5"/>
        <v/>
      </c>
      <c r="N59" s="184" t="str">
        <f>IF(OR(ISBLANK($D59),ISBLANK($K59),ISBLANK($L59)),"",IF($L59="0–9 km",0,IF(LEFT($D59,4)="Long",VLOOKUP($K59,Subsistence,2,0)*14+VLOOKUP($K59,Subsistence,3,0)*46+VLOOKUP($K59,Subsistence,4,0)*($F59-60),IF(RIGHT($D59,8)="students",IF($F59&lt;15,Ceilings!$S$6*$F59,Ceilings!$S$6*14+Ceilings!$S$7*($F59-14)),IF($F59&lt;15,Ceilings!$S$3*$F59,Ceilings!$S$3*14+Ceilings!$S$4*($F59-14))))))</f>
        <v/>
      </c>
      <c r="O59" s="185" t="str">
        <f>IF(OR(ISBLANK(D59),ISBLANK(H59),ISBLANK(K59),ISBLANK(L59)),"",IF(L59="0–9 km",0,IF(I59&lt;15,Ceilings!$S$3*I59,Ceilings!$S$3*14+Ceilings!$S$4*(I59-14))))</f>
        <v/>
      </c>
      <c r="P59" s="183" t="str">
        <f t="shared" si="4"/>
        <v/>
      </c>
      <c r="Q59" s="436"/>
      <c r="R59" s="266" t="str">
        <f>IF(OR(ISBLANK($D59),ISBLANK($K59),ISBLANK(Q59)),"",Ceilings!$V$3*Q59)</f>
        <v/>
      </c>
      <c r="S59" s="72" t="str">
        <f t="shared" si="6"/>
        <v/>
      </c>
    </row>
    <row r="60" spans="1:19" ht="15.75" customHeight="1">
      <c r="A60" s="506"/>
      <c r="B60" s="51" t="str">
        <f>IF(ISBLANK(A60),"",VLOOKUP(A60,Management!$A$11:$C$25,2,0))</f>
        <v/>
      </c>
      <c r="C60" s="433"/>
      <c r="D60" s="421"/>
      <c r="E60" s="433"/>
      <c r="F60" s="434"/>
      <c r="G60" s="95" t="str">
        <f t="shared" si="2"/>
        <v/>
      </c>
      <c r="H60" s="435"/>
      <c r="I60" s="434"/>
      <c r="J60" s="95" t="str">
        <f t="shared" si="3"/>
        <v/>
      </c>
      <c r="K60" s="81"/>
      <c r="L60" s="362"/>
      <c r="M60" s="256" t="str">
        <f t="shared" si="5"/>
        <v/>
      </c>
      <c r="N60" s="184" t="str">
        <f>IF(OR(ISBLANK($D60),ISBLANK($K60),ISBLANK($L60)),"",IF($L60="0–9 km",0,IF(LEFT($D60,4)="Long",VLOOKUP($K60,Subsistence,2,0)*14+VLOOKUP($K60,Subsistence,3,0)*46+VLOOKUP($K60,Subsistence,4,0)*($F60-60),IF(RIGHT($D60,8)="students",IF($F60&lt;15,Ceilings!$S$6*$F60,Ceilings!$S$6*14+Ceilings!$S$7*($F60-14)),IF($F60&lt;15,Ceilings!$S$3*$F60,Ceilings!$S$3*14+Ceilings!$S$4*($F60-14))))))</f>
        <v/>
      </c>
      <c r="O60" s="185" t="str">
        <f>IF(OR(ISBLANK(D60),ISBLANK(H60),ISBLANK(K60),ISBLANK(L60)),"",IF(L60="0–9 km",0,IF(I60&lt;15,Ceilings!$S$3*I60,Ceilings!$S$3*14+Ceilings!$S$4*(I60-14))))</f>
        <v/>
      </c>
      <c r="P60" s="183" t="str">
        <f t="shared" si="4"/>
        <v/>
      </c>
      <c r="Q60" s="436"/>
      <c r="R60" s="266" t="str">
        <f>IF(OR(ISBLANK($D60),ISBLANK($K60),ISBLANK(Q60)),"",Ceilings!$V$3*Q60)</f>
        <v/>
      </c>
      <c r="S60" s="72" t="str">
        <f t="shared" si="6"/>
        <v/>
      </c>
    </row>
    <row r="61" spans="1:19" ht="15.75" customHeight="1">
      <c r="A61" s="506"/>
      <c r="B61" s="51" t="str">
        <f>IF(ISBLANK(A61),"",VLOOKUP(A61,Management!$A$11:$C$25,2,0))</f>
        <v/>
      </c>
      <c r="C61" s="433"/>
      <c r="D61" s="421"/>
      <c r="E61" s="433"/>
      <c r="F61" s="434"/>
      <c r="G61" s="95" t="str">
        <f t="shared" si="2"/>
        <v/>
      </c>
      <c r="H61" s="435"/>
      <c r="I61" s="434"/>
      <c r="J61" s="95" t="str">
        <f t="shared" si="3"/>
        <v/>
      </c>
      <c r="K61" s="81"/>
      <c r="L61" s="362"/>
      <c r="M61" s="256" t="str">
        <f t="shared" si="5"/>
        <v/>
      </c>
      <c r="N61" s="184" t="str">
        <f>IF(OR(ISBLANK($D61),ISBLANK($K61),ISBLANK($L61)),"",IF($L61="0–9 km",0,IF(LEFT($D61,4)="Long",VLOOKUP($K61,Subsistence,2,0)*14+VLOOKUP($K61,Subsistence,3,0)*46+VLOOKUP($K61,Subsistence,4,0)*($F61-60),IF(RIGHT($D61,8)="students",IF($F61&lt;15,Ceilings!$S$6*$F61,Ceilings!$S$6*14+Ceilings!$S$7*($F61-14)),IF($F61&lt;15,Ceilings!$S$3*$F61,Ceilings!$S$3*14+Ceilings!$S$4*($F61-14))))))</f>
        <v/>
      </c>
      <c r="O61" s="185" t="str">
        <f>IF(OR(ISBLANK(D61),ISBLANK(H61),ISBLANK(K61),ISBLANK(L61)),"",IF(L61="0–9 km",0,IF(I61&lt;15,Ceilings!$S$3*I61,Ceilings!$S$3*14+Ceilings!$S$4*(I61-14))))</f>
        <v/>
      </c>
      <c r="P61" s="183" t="str">
        <f t="shared" si="4"/>
        <v/>
      </c>
      <c r="Q61" s="436"/>
      <c r="R61" s="266" t="str">
        <f>IF(OR(ISBLANK($D61),ISBLANK($K61),ISBLANK(Q61)),"",Ceilings!$V$3*Q61)</f>
        <v/>
      </c>
      <c r="S61" s="72" t="str">
        <f t="shared" si="6"/>
        <v/>
      </c>
    </row>
    <row r="62" spans="1:19" ht="15.75" customHeight="1">
      <c r="A62" s="506"/>
      <c r="B62" s="51" t="str">
        <f>IF(ISBLANK(A62),"",VLOOKUP(A62,Management!$A$11:$C$25,2,0))</f>
        <v/>
      </c>
      <c r="C62" s="433"/>
      <c r="D62" s="421"/>
      <c r="E62" s="433"/>
      <c r="F62" s="434"/>
      <c r="G62" s="95" t="str">
        <f t="shared" si="2"/>
        <v/>
      </c>
      <c r="H62" s="435"/>
      <c r="I62" s="434"/>
      <c r="J62" s="95" t="str">
        <f t="shared" si="3"/>
        <v/>
      </c>
      <c r="K62" s="81"/>
      <c r="L62" s="362"/>
      <c r="M62" s="256" t="str">
        <f t="shared" si="5"/>
        <v/>
      </c>
      <c r="N62" s="184" t="str">
        <f>IF(OR(ISBLANK($D62),ISBLANK($K62),ISBLANK($L62)),"",IF($L62="0–9 km",0,IF(LEFT($D62,4)="Long",VLOOKUP($K62,Subsistence,2,0)*14+VLOOKUP($K62,Subsistence,3,0)*46+VLOOKUP($K62,Subsistence,4,0)*($F62-60),IF(RIGHT($D62,8)="students",IF($F62&lt;15,Ceilings!$S$6*$F62,Ceilings!$S$6*14+Ceilings!$S$7*($F62-14)),IF($F62&lt;15,Ceilings!$S$3*$F62,Ceilings!$S$3*14+Ceilings!$S$4*($F62-14))))))</f>
        <v/>
      </c>
      <c r="O62" s="185" t="str">
        <f>IF(OR(ISBLANK(D62),ISBLANK(H62),ISBLANK(K62),ISBLANK(L62)),"",IF(L62="0–9 km",0,IF(I62&lt;15,Ceilings!$S$3*I62,Ceilings!$S$3*14+Ceilings!$S$4*(I62-14))))</f>
        <v/>
      </c>
      <c r="P62" s="183" t="str">
        <f t="shared" si="4"/>
        <v/>
      </c>
      <c r="Q62" s="436"/>
      <c r="R62" s="266" t="str">
        <f>IF(OR(ISBLANK($D62),ISBLANK($K62),ISBLANK(Q62)),"",Ceilings!$V$3*Q62)</f>
        <v/>
      </c>
      <c r="S62" s="72" t="str">
        <f t="shared" si="6"/>
        <v/>
      </c>
    </row>
    <row r="63" spans="1:19" ht="15.75" customHeight="1">
      <c r="A63" s="506"/>
      <c r="B63" s="51" t="str">
        <f>IF(ISBLANK(A63),"",VLOOKUP(A63,Management!$A$11:$C$25,2,0))</f>
        <v/>
      </c>
      <c r="C63" s="433"/>
      <c r="D63" s="421"/>
      <c r="E63" s="433"/>
      <c r="F63" s="434"/>
      <c r="G63" s="95" t="str">
        <f t="shared" si="2"/>
        <v/>
      </c>
      <c r="H63" s="435"/>
      <c r="I63" s="434"/>
      <c r="J63" s="95" t="str">
        <f t="shared" si="3"/>
        <v/>
      </c>
      <c r="K63" s="81"/>
      <c r="L63" s="362"/>
      <c r="M63" s="256" t="str">
        <f t="shared" si="5"/>
        <v/>
      </c>
      <c r="N63" s="184" t="str">
        <f>IF(OR(ISBLANK($D63),ISBLANK($K63),ISBLANK($L63)),"",IF($L63="0–9 km",0,IF(LEFT($D63,4)="Long",VLOOKUP($K63,Subsistence,2,0)*14+VLOOKUP($K63,Subsistence,3,0)*46+VLOOKUP($K63,Subsistence,4,0)*($F63-60),IF(RIGHT($D63,8)="students",IF($F63&lt;15,Ceilings!$S$6*$F63,Ceilings!$S$6*14+Ceilings!$S$7*($F63-14)),IF($F63&lt;15,Ceilings!$S$3*$F63,Ceilings!$S$3*14+Ceilings!$S$4*($F63-14))))))</f>
        <v/>
      </c>
      <c r="O63" s="185" t="str">
        <f>IF(OR(ISBLANK(D63),ISBLANK(H63),ISBLANK(K63),ISBLANK(L63)),"",IF(L63="0–9 km",0,IF(I63&lt;15,Ceilings!$S$3*I63,Ceilings!$S$3*14+Ceilings!$S$4*(I63-14))))</f>
        <v/>
      </c>
      <c r="P63" s="183" t="str">
        <f t="shared" si="4"/>
        <v/>
      </c>
      <c r="Q63" s="436"/>
      <c r="R63" s="266" t="str">
        <f>IF(OR(ISBLANK($D63),ISBLANK($K63),ISBLANK(Q63)),"",Ceilings!$V$3*Q63)</f>
        <v/>
      </c>
      <c r="S63" s="72" t="str">
        <f t="shared" si="6"/>
        <v/>
      </c>
    </row>
    <row r="64" spans="1:19" ht="15.75" customHeight="1">
      <c r="A64" s="506"/>
      <c r="B64" s="51" t="str">
        <f>IF(ISBLANK(A64),"",VLOOKUP(A64,Management!$A$11:$C$25,2,0))</f>
        <v/>
      </c>
      <c r="C64" s="433"/>
      <c r="D64" s="421"/>
      <c r="E64" s="433"/>
      <c r="F64" s="434"/>
      <c r="G64" s="95" t="str">
        <f t="shared" si="2"/>
        <v/>
      </c>
      <c r="H64" s="435"/>
      <c r="I64" s="434"/>
      <c r="J64" s="95" t="str">
        <f t="shared" si="3"/>
        <v/>
      </c>
      <c r="K64" s="81"/>
      <c r="L64" s="362"/>
      <c r="M64" s="256" t="str">
        <f t="shared" si="5"/>
        <v/>
      </c>
      <c r="N64" s="184" t="str">
        <f>IF(OR(ISBLANK($D64),ISBLANK($K64),ISBLANK($L64)),"",IF($L64="0–9 km",0,IF(LEFT($D64,4)="Long",VLOOKUP($K64,Subsistence,2,0)*14+VLOOKUP($K64,Subsistence,3,0)*46+VLOOKUP($K64,Subsistence,4,0)*($F64-60),IF(RIGHT($D64,8)="students",IF($F64&lt;15,Ceilings!$S$6*$F64,Ceilings!$S$6*14+Ceilings!$S$7*($F64-14)),IF($F64&lt;15,Ceilings!$S$3*$F64,Ceilings!$S$3*14+Ceilings!$S$4*($F64-14))))))</f>
        <v/>
      </c>
      <c r="O64" s="185" t="str">
        <f>IF(OR(ISBLANK(D64),ISBLANK(H64),ISBLANK(K64),ISBLANK(L64)),"",IF(L64="0–9 km",0,IF(I64&lt;15,Ceilings!$S$3*I64,Ceilings!$S$3*14+Ceilings!$S$4*(I64-14))))</f>
        <v/>
      </c>
      <c r="P64" s="183" t="str">
        <f t="shared" si="4"/>
        <v/>
      </c>
      <c r="Q64" s="436"/>
      <c r="R64" s="266" t="str">
        <f>IF(OR(ISBLANK($D64),ISBLANK($K64),ISBLANK(Q64)),"",Ceilings!$V$3*Q64)</f>
        <v/>
      </c>
      <c r="S64" s="72" t="str">
        <f t="shared" si="6"/>
        <v/>
      </c>
    </row>
    <row r="65" spans="1:19" ht="15.75" customHeight="1">
      <c r="A65" s="506"/>
      <c r="B65" s="51" t="str">
        <f>IF(ISBLANK(A65),"",VLOOKUP(A65,Management!$A$11:$C$25,2,0))</f>
        <v/>
      </c>
      <c r="C65" s="433"/>
      <c r="D65" s="421"/>
      <c r="E65" s="433"/>
      <c r="F65" s="434"/>
      <c r="G65" s="95" t="str">
        <f t="shared" si="2"/>
        <v/>
      </c>
      <c r="H65" s="435"/>
      <c r="I65" s="434"/>
      <c r="J65" s="95" t="str">
        <f t="shared" si="3"/>
        <v/>
      </c>
      <c r="K65" s="81"/>
      <c r="L65" s="362"/>
      <c r="M65" s="256" t="str">
        <f t="shared" si="5"/>
        <v/>
      </c>
      <c r="N65" s="184" t="str">
        <f>IF(OR(ISBLANK($D65),ISBLANK($K65),ISBLANK($L65)),"",IF($L65="0–9 km",0,IF(LEFT($D65,4)="Long",VLOOKUP($K65,Subsistence,2,0)*14+VLOOKUP($K65,Subsistence,3,0)*46+VLOOKUP($K65,Subsistence,4,0)*($F65-60),IF(RIGHT($D65,8)="students",IF($F65&lt;15,Ceilings!$S$6*$F65,Ceilings!$S$6*14+Ceilings!$S$7*($F65-14)),IF($F65&lt;15,Ceilings!$S$3*$F65,Ceilings!$S$3*14+Ceilings!$S$4*($F65-14))))))</f>
        <v/>
      </c>
      <c r="O65" s="185" t="str">
        <f>IF(OR(ISBLANK(D65),ISBLANK(H65),ISBLANK(K65),ISBLANK(L65)),"",IF(L65="0–9 km",0,IF(I65&lt;15,Ceilings!$S$3*I65,Ceilings!$S$3*14+Ceilings!$S$4*(I65-14))))</f>
        <v/>
      </c>
      <c r="P65" s="183" t="str">
        <f t="shared" si="4"/>
        <v/>
      </c>
      <c r="Q65" s="436"/>
      <c r="R65" s="266" t="str">
        <f>IF(OR(ISBLANK($D65),ISBLANK($K65),ISBLANK(Q65)),"",Ceilings!$V$3*Q65)</f>
        <v/>
      </c>
      <c r="S65" s="72" t="str">
        <f t="shared" si="6"/>
        <v/>
      </c>
    </row>
    <row r="66" spans="1:19" ht="15.75" customHeight="1">
      <c r="A66" s="506"/>
      <c r="B66" s="51" t="str">
        <f>IF(ISBLANK(A66),"",VLOOKUP(A66,Management!$A$11:$C$25,2,0))</f>
        <v/>
      </c>
      <c r="C66" s="433"/>
      <c r="D66" s="421"/>
      <c r="E66" s="433"/>
      <c r="F66" s="434"/>
      <c r="G66" s="95" t="str">
        <f t="shared" si="2"/>
        <v/>
      </c>
      <c r="H66" s="435"/>
      <c r="I66" s="434"/>
      <c r="J66" s="95" t="str">
        <f t="shared" si="3"/>
        <v/>
      </c>
      <c r="K66" s="81"/>
      <c r="L66" s="362"/>
      <c r="M66" s="256" t="str">
        <f t="shared" si="5"/>
        <v/>
      </c>
      <c r="N66" s="184" t="str">
        <f>IF(OR(ISBLANK($D66),ISBLANK($K66),ISBLANK($L66)),"",IF($L66="0–9 km",0,IF(LEFT($D66,4)="Long",VLOOKUP($K66,Subsistence,2,0)*14+VLOOKUP($K66,Subsistence,3,0)*46+VLOOKUP($K66,Subsistence,4,0)*($F66-60),IF(RIGHT($D66,8)="students",IF($F66&lt;15,Ceilings!$S$6*$F66,Ceilings!$S$6*14+Ceilings!$S$7*($F66-14)),IF($F66&lt;15,Ceilings!$S$3*$F66,Ceilings!$S$3*14+Ceilings!$S$4*($F66-14))))))</f>
        <v/>
      </c>
      <c r="O66" s="185" t="str">
        <f>IF(OR(ISBLANK(D66),ISBLANK(H66),ISBLANK(K66),ISBLANK(L66)),"",IF(L66="0–9 km",0,IF(I66&lt;15,Ceilings!$S$3*I66,Ceilings!$S$3*14+Ceilings!$S$4*(I66-14))))</f>
        <v/>
      </c>
      <c r="P66" s="183" t="str">
        <f t="shared" si="4"/>
        <v/>
      </c>
      <c r="Q66" s="436"/>
      <c r="R66" s="266" t="str">
        <f>IF(OR(ISBLANK($D66),ISBLANK($K66),ISBLANK(Q66)),"",Ceilings!$V$3*Q66)</f>
        <v/>
      </c>
      <c r="S66" s="72" t="str">
        <f t="shared" si="6"/>
        <v/>
      </c>
    </row>
    <row r="67" spans="1:19" ht="15.75" customHeight="1">
      <c r="A67" s="506"/>
      <c r="B67" s="51" t="str">
        <f>IF(ISBLANK(A67),"",VLOOKUP(A67,Management!$A$11:$C$25,2,0))</f>
        <v/>
      </c>
      <c r="C67" s="433"/>
      <c r="D67" s="421"/>
      <c r="E67" s="433"/>
      <c r="F67" s="434"/>
      <c r="G67" s="95" t="str">
        <f t="shared" si="2"/>
        <v/>
      </c>
      <c r="H67" s="435"/>
      <c r="I67" s="434"/>
      <c r="J67" s="95" t="str">
        <f t="shared" si="3"/>
        <v/>
      </c>
      <c r="K67" s="81"/>
      <c r="L67" s="362"/>
      <c r="M67" s="256" t="str">
        <f t="shared" si="5"/>
        <v/>
      </c>
      <c r="N67" s="184" t="str">
        <f>IF(OR(ISBLANK($D67),ISBLANK($K67),ISBLANK($L67)),"",IF($L67="0–9 km",0,IF(LEFT($D67,4)="Long",VLOOKUP($K67,Subsistence,2,0)*14+VLOOKUP($K67,Subsistence,3,0)*46+VLOOKUP($K67,Subsistence,4,0)*($F67-60),IF(RIGHT($D67,8)="students",IF($F67&lt;15,Ceilings!$S$6*$F67,Ceilings!$S$6*14+Ceilings!$S$7*($F67-14)),IF($F67&lt;15,Ceilings!$S$3*$F67,Ceilings!$S$3*14+Ceilings!$S$4*($F67-14))))))</f>
        <v/>
      </c>
      <c r="O67" s="185" t="str">
        <f>IF(OR(ISBLANK(D67),ISBLANK(H67),ISBLANK(K67),ISBLANK(L67)),"",IF(L67="0–9 km",0,IF(I67&lt;15,Ceilings!$S$3*I67,Ceilings!$S$3*14+Ceilings!$S$4*(I67-14))))</f>
        <v/>
      </c>
      <c r="P67" s="183" t="str">
        <f t="shared" si="4"/>
        <v/>
      </c>
      <c r="Q67" s="436"/>
      <c r="R67" s="266" t="str">
        <f>IF(OR(ISBLANK($D67),ISBLANK($K67),ISBLANK(Q67)),"",Ceilings!$V$3*Q67)</f>
        <v/>
      </c>
      <c r="S67" s="72" t="str">
        <f t="shared" si="6"/>
        <v/>
      </c>
    </row>
    <row r="68" spans="1:19" ht="15.75" customHeight="1">
      <c r="A68" s="506"/>
      <c r="B68" s="51" t="str">
        <f>IF(ISBLANK(A68),"",VLOOKUP(A68,Management!$A$11:$C$25,2,0))</f>
        <v/>
      </c>
      <c r="C68" s="433"/>
      <c r="D68" s="421"/>
      <c r="E68" s="433"/>
      <c r="F68" s="434"/>
      <c r="G68" s="95" t="str">
        <f t="shared" si="2"/>
        <v/>
      </c>
      <c r="H68" s="435"/>
      <c r="I68" s="434"/>
      <c r="J68" s="95" t="str">
        <f t="shared" si="3"/>
        <v/>
      </c>
      <c r="K68" s="81"/>
      <c r="L68" s="362"/>
      <c r="M68" s="256" t="str">
        <f t="shared" si="5"/>
        <v/>
      </c>
      <c r="N68" s="184" t="str">
        <f>IF(OR(ISBLANK($D68),ISBLANK($K68),ISBLANK($L68)),"",IF($L68="0–9 km",0,IF(LEFT($D68,4)="Long",VLOOKUP($K68,Subsistence,2,0)*14+VLOOKUP($K68,Subsistence,3,0)*46+VLOOKUP($K68,Subsistence,4,0)*($F68-60),IF(RIGHT($D68,8)="students",IF($F68&lt;15,Ceilings!$S$6*$F68,Ceilings!$S$6*14+Ceilings!$S$7*($F68-14)),IF($F68&lt;15,Ceilings!$S$3*$F68,Ceilings!$S$3*14+Ceilings!$S$4*($F68-14))))))</f>
        <v/>
      </c>
      <c r="O68" s="185" t="str">
        <f>IF(OR(ISBLANK(D68),ISBLANK(H68),ISBLANK(K68),ISBLANK(L68)),"",IF(L68="0–9 km",0,IF(I68&lt;15,Ceilings!$S$3*I68,Ceilings!$S$3*14+Ceilings!$S$4*(I68-14))))</f>
        <v/>
      </c>
      <c r="P68" s="183" t="str">
        <f t="shared" si="4"/>
        <v/>
      </c>
      <c r="Q68" s="436"/>
      <c r="R68" s="266" t="str">
        <f>IF(OR(ISBLANK($D68),ISBLANK($K68),ISBLANK(Q68)),"",Ceilings!$V$3*Q68)</f>
        <v/>
      </c>
      <c r="S68" s="72" t="str">
        <f t="shared" si="6"/>
        <v/>
      </c>
    </row>
    <row r="69" spans="1:19" ht="15.75" customHeight="1">
      <c r="A69" s="506"/>
      <c r="B69" s="51" t="str">
        <f>IF(ISBLANK(A69),"",VLOOKUP(A69,Management!$A$11:$C$25,2,0))</f>
        <v/>
      </c>
      <c r="C69" s="433"/>
      <c r="D69" s="421"/>
      <c r="E69" s="433"/>
      <c r="F69" s="434"/>
      <c r="G69" s="95" t="str">
        <f t="shared" si="2"/>
        <v/>
      </c>
      <c r="H69" s="435"/>
      <c r="I69" s="434"/>
      <c r="J69" s="95" t="str">
        <f t="shared" si="3"/>
        <v/>
      </c>
      <c r="K69" s="81"/>
      <c r="L69" s="362"/>
      <c r="M69" s="256" t="str">
        <f t="shared" si="5"/>
        <v/>
      </c>
      <c r="N69" s="184" t="str">
        <f>IF(OR(ISBLANK($D69),ISBLANK($K69),ISBLANK($L69)),"",IF($L69="0–9 km",0,IF(LEFT($D69,4)="Long",VLOOKUP($K69,Subsistence,2,0)*14+VLOOKUP($K69,Subsistence,3,0)*46+VLOOKUP($K69,Subsistence,4,0)*($F69-60),IF(RIGHT($D69,8)="students",IF($F69&lt;15,Ceilings!$S$6*$F69,Ceilings!$S$6*14+Ceilings!$S$7*($F69-14)),IF($F69&lt;15,Ceilings!$S$3*$F69,Ceilings!$S$3*14+Ceilings!$S$4*($F69-14))))))</f>
        <v/>
      </c>
      <c r="O69" s="185" t="str">
        <f>IF(OR(ISBLANK(D69),ISBLANK(H69),ISBLANK(K69),ISBLANK(L69)),"",IF(L69="0–9 km",0,IF(I69&lt;15,Ceilings!$S$3*I69,Ceilings!$S$3*14+Ceilings!$S$4*(I69-14))))</f>
        <v/>
      </c>
      <c r="P69" s="183" t="str">
        <f t="shared" si="4"/>
        <v/>
      </c>
      <c r="Q69" s="436"/>
      <c r="R69" s="266" t="str">
        <f>IF(OR(ISBLANK($D69),ISBLANK($K69),ISBLANK(Q69)),"",Ceilings!$V$3*Q69)</f>
        <v/>
      </c>
      <c r="S69" s="72" t="str">
        <f t="shared" si="6"/>
        <v/>
      </c>
    </row>
    <row r="70" spans="1:19" ht="15.75" customHeight="1">
      <c r="A70" s="506"/>
      <c r="B70" s="51" t="str">
        <f>IF(ISBLANK(A70),"",VLOOKUP(A70,Management!$A$11:$C$25,2,0))</f>
        <v/>
      </c>
      <c r="C70" s="433"/>
      <c r="D70" s="421"/>
      <c r="E70" s="433"/>
      <c r="F70" s="434"/>
      <c r="G70" s="95" t="str">
        <f t="shared" si="2"/>
        <v/>
      </c>
      <c r="H70" s="435"/>
      <c r="I70" s="434"/>
      <c r="J70" s="95" t="str">
        <f t="shared" si="3"/>
        <v/>
      </c>
      <c r="K70" s="81"/>
      <c r="L70" s="362"/>
      <c r="M70" s="256" t="str">
        <f t="shared" si="5"/>
        <v/>
      </c>
      <c r="N70" s="184" t="str">
        <f>IF(OR(ISBLANK($D70),ISBLANK($K70),ISBLANK($L70)),"",IF($L70="0–9 km",0,IF(LEFT($D70,4)="Long",VLOOKUP($K70,Subsistence,2,0)*14+VLOOKUP($K70,Subsistence,3,0)*46+VLOOKUP($K70,Subsistence,4,0)*($F70-60),IF(RIGHT($D70,8)="students",IF($F70&lt;15,Ceilings!$S$6*$F70,Ceilings!$S$6*14+Ceilings!$S$7*($F70-14)),IF($F70&lt;15,Ceilings!$S$3*$F70,Ceilings!$S$3*14+Ceilings!$S$4*($F70-14))))))</f>
        <v/>
      </c>
      <c r="O70" s="185" t="str">
        <f>IF(OR(ISBLANK(D70),ISBLANK(H70),ISBLANK(K70),ISBLANK(L70)),"",IF(L70="0–9 km",0,IF(I70&lt;15,Ceilings!$S$3*I70,Ceilings!$S$3*14+Ceilings!$S$4*(I70-14))))</f>
        <v/>
      </c>
      <c r="P70" s="183" t="str">
        <f t="shared" si="4"/>
        <v/>
      </c>
      <c r="Q70" s="436"/>
      <c r="R70" s="266" t="str">
        <f>IF(OR(ISBLANK($D70),ISBLANK($K70),ISBLANK(Q70)),"",Ceilings!$V$3*Q70)</f>
        <v/>
      </c>
      <c r="S70" s="72" t="str">
        <f t="shared" si="6"/>
        <v/>
      </c>
    </row>
    <row r="71" spans="1:19" ht="15.75" customHeight="1">
      <c r="A71" s="506"/>
      <c r="B71" s="51" t="str">
        <f>IF(ISBLANK(A71),"",VLOOKUP(A71,Management!$A$11:$C$25,2,0))</f>
        <v/>
      </c>
      <c r="C71" s="433"/>
      <c r="D71" s="421"/>
      <c r="E71" s="433"/>
      <c r="F71" s="434"/>
      <c r="G71" s="95" t="str">
        <f t="shared" si="2"/>
        <v/>
      </c>
      <c r="H71" s="435"/>
      <c r="I71" s="434"/>
      <c r="J71" s="95" t="str">
        <f t="shared" si="3"/>
        <v/>
      </c>
      <c r="K71" s="81"/>
      <c r="L71" s="362"/>
      <c r="M71" s="256" t="str">
        <f t="shared" ref="M71:M102" si="7">IF(ISBLANK(L71),"",(E71+H71)*VLOOKUP(L71,TravelGrant,2,0))</f>
        <v/>
      </c>
      <c r="N71" s="184" t="str">
        <f>IF(OR(ISBLANK($D71),ISBLANK($K71),ISBLANK($L71)),"",IF($L71="0–9 km",0,IF(LEFT($D71,4)="Long",VLOOKUP($K71,Subsistence,2,0)*14+VLOOKUP($K71,Subsistence,3,0)*46+VLOOKUP($K71,Subsistence,4,0)*($F71-60),IF(RIGHT($D71,8)="students",IF($F71&lt;15,Ceilings!$S$6*$F71,Ceilings!$S$6*14+Ceilings!$S$7*($F71-14)),IF($F71&lt;15,Ceilings!$S$3*$F71,Ceilings!$S$3*14+Ceilings!$S$4*($F71-14))))))</f>
        <v/>
      </c>
      <c r="O71" s="185" t="str">
        <f>IF(OR(ISBLANK(D71),ISBLANK(H71),ISBLANK(K71),ISBLANK(L71)),"",IF(L71="0–9 km",0,IF(I71&lt;15,Ceilings!$S$3*I71,Ceilings!$S$3*14+Ceilings!$S$4*(I71-14))))</f>
        <v/>
      </c>
      <c r="P71" s="183" t="str">
        <f t="shared" si="4"/>
        <v/>
      </c>
      <c r="Q71" s="436"/>
      <c r="R71" s="266" t="str">
        <f>IF(OR(ISBLANK($D71),ISBLANK($K71),ISBLANK(Q71)),"",Ceilings!$V$3*Q71)</f>
        <v/>
      </c>
      <c r="S71" s="72" t="str">
        <f t="shared" ref="S71:S106" si="8">IF(ISBLANK($A71),"",IF(OR(ISBLANK($C71),ISBLANK($D71),ISBLANK($E71),ISBLANK($K71)),"Missing data",SUM($M71,$P71,$R71)))</f>
        <v/>
      </c>
    </row>
    <row r="72" spans="1:19" ht="15.75" customHeight="1">
      <c r="A72" s="506"/>
      <c r="B72" s="51" t="str">
        <f>IF(ISBLANK(A72),"",VLOOKUP(A72,Management!$A$11:$C$25,2,0))</f>
        <v/>
      </c>
      <c r="C72" s="433"/>
      <c r="D72" s="421"/>
      <c r="E72" s="433"/>
      <c r="F72" s="434"/>
      <c r="G72" s="95" t="str">
        <f t="shared" si="2"/>
        <v/>
      </c>
      <c r="H72" s="435"/>
      <c r="I72" s="434"/>
      <c r="J72" s="95" t="str">
        <f t="shared" si="3"/>
        <v/>
      </c>
      <c r="K72" s="81"/>
      <c r="L72" s="362"/>
      <c r="M72" s="256" t="str">
        <f t="shared" si="7"/>
        <v/>
      </c>
      <c r="N72" s="184" t="str">
        <f>IF(OR(ISBLANK($D72),ISBLANK($K72),ISBLANK($L72)),"",IF($L72="0–9 km",0,IF(LEFT($D72,4)="Long",VLOOKUP($K72,Subsistence,2,0)*14+VLOOKUP($K72,Subsistence,3,0)*46+VLOOKUP($K72,Subsistence,4,0)*($F72-60),IF(RIGHT($D72,8)="students",IF($F72&lt;15,Ceilings!$S$6*$F72,Ceilings!$S$6*14+Ceilings!$S$7*($F72-14)),IF($F72&lt;15,Ceilings!$S$3*$F72,Ceilings!$S$3*14+Ceilings!$S$4*($F72-14))))))</f>
        <v/>
      </c>
      <c r="O72" s="185" t="str">
        <f>IF(OR(ISBLANK(D72),ISBLANK(H72),ISBLANK(K72),ISBLANK(L72)),"",IF(L72="0–9 km",0,IF(I72&lt;15,Ceilings!$S$3*I72,Ceilings!$S$3*14+Ceilings!$S$4*(I72-14))))</f>
        <v/>
      </c>
      <c r="P72" s="183" t="str">
        <f t="shared" si="4"/>
        <v/>
      </c>
      <c r="Q72" s="436"/>
      <c r="R72" s="266" t="str">
        <f>IF(OR(ISBLANK($D72),ISBLANK($K72),ISBLANK(Q72)),"",Ceilings!$V$3*Q72)</f>
        <v/>
      </c>
      <c r="S72" s="72" t="str">
        <f t="shared" si="8"/>
        <v/>
      </c>
    </row>
    <row r="73" spans="1:19" ht="15.75" customHeight="1">
      <c r="A73" s="506"/>
      <c r="B73" s="51" t="str">
        <f>IF(ISBLANK(A73),"",VLOOKUP(A73,Management!$A$11:$C$25,2,0))</f>
        <v/>
      </c>
      <c r="C73" s="433"/>
      <c r="D73" s="421"/>
      <c r="E73" s="433"/>
      <c r="F73" s="434"/>
      <c r="G73" s="95" t="str">
        <f t="shared" si="2"/>
        <v/>
      </c>
      <c r="H73" s="435"/>
      <c r="I73" s="434"/>
      <c r="J73" s="95" t="str">
        <f t="shared" si="3"/>
        <v/>
      </c>
      <c r="K73" s="81"/>
      <c r="L73" s="362"/>
      <c r="M73" s="256" t="str">
        <f t="shared" si="7"/>
        <v/>
      </c>
      <c r="N73" s="184" t="str">
        <f>IF(OR(ISBLANK($D73),ISBLANK($K73),ISBLANK($L73)),"",IF($L73="0–9 km",0,IF(LEFT($D73,4)="Long",VLOOKUP($K73,Subsistence,2,0)*14+VLOOKUP($K73,Subsistence,3,0)*46+VLOOKUP($K73,Subsistence,4,0)*($F73-60),IF(RIGHT($D73,8)="students",IF($F73&lt;15,Ceilings!$S$6*$F73,Ceilings!$S$6*14+Ceilings!$S$7*($F73-14)),IF($F73&lt;15,Ceilings!$S$3*$F73,Ceilings!$S$3*14+Ceilings!$S$4*($F73-14))))))</f>
        <v/>
      </c>
      <c r="O73" s="185" t="str">
        <f>IF(OR(ISBLANK(D73),ISBLANK(H73),ISBLANK(K73),ISBLANK(L73)),"",IF(L73="0–9 km",0,IF(I73&lt;15,Ceilings!$S$3*I73,Ceilings!$S$3*14+Ceilings!$S$4*(I73-14))))</f>
        <v/>
      </c>
      <c r="P73" s="183" t="str">
        <f t="shared" ref="P73:P104" si="9">IF(N73="","",$E73*N73+IF(O73="",0,$H73*O73))</f>
        <v/>
      </c>
      <c r="Q73" s="436"/>
      <c r="R73" s="266" t="str">
        <f>IF(OR(ISBLANK($D73),ISBLANK($K73),ISBLANK(Q73)),"",Ceilings!$V$3*Q73)</f>
        <v/>
      </c>
      <c r="S73" s="72" t="str">
        <f t="shared" si="8"/>
        <v/>
      </c>
    </row>
    <row r="74" spans="1:19" ht="15.75" customHeight="1">
      <c r="A74" s="506"/>
      <c r="B74" s="51" t="str">
        <f>IF(ISBLANK(A74),"",VLOOKUP(A74,Management!$A$11:$C$25,2,0))</f>
        <v/>
      </c>
      <c r="C74" s="433"/>
      <c r="D74" s="421"/>
      <c r="E74" s="433"/>
      <c r="F74" s="434"/>
      <c r="G74" s="95" t="str">
        <f t="shared" si="2"/>
        <v/>
      </c>
      <c r="H74" s="435"/>
      <c r="I74" s="434"/>
      <c r="J74" s="95" t="str">
        <f t="shared" si="3"/>
        <v/>
      </c>
      <c r="K74" s="81"/>
      <c r="L74" s="362"/>
      <c r="M74" s="256" t="str">
        <f t="shared" si="7"/>
        <v/>
      </c>
      <c r="N74" s="184" t="str">
        <f>IF(OR(ISBLANK($D74),ISBLANK($K74),ISBLANK($L74)),"",IF($L74="0–9 km",0,IF(LEFT($D74,4)="Long",VLOOKUP($K74,Subsistence,2,0)*14+VLOOKUP($K74,Subsistence,3,0)*46+VLOOKUP($K74,Subsistence,4,0)*($F74-60),IF(RIGHT($D74,8)="students",IF($F74&lt;15,Ceilings!$S$6*$F74,Ceilings!$S$6*14+Ceilings!$S$7*($F74-14)),IF($F74&lt;15,Ceilings!$S$3*$F74,Ceilings!$S$3*14+Ceilings!$S$4*($F74-14))))))</f>
        <v/>
      </c>
      <c r="O74" s="185" t="str">
        <f>IF(OR(ISBLANK(D74),ISBLANK(H74),ISBLANK(K74),ISBLANK(L74)),"",IF(L74="0–9 km",0,IF(I74&lt;15,Ceilings!$S$3*I74,Ceilings!$S$3*14+Ceilings!$S$4*(I74-14))))</f>
        <v/>
      </c>
      <c r="P74" s="183" t="str">
        <f t="shared" si="9"/>
        <v/>
      </c>
      <c r="Q74" s="436"/>
      <c r="R74" s="266" t="str">
        <f>IF(OR(ISBLANK($D74),ISBLANK($K74),ISBLANK(Q74)),"",Ceilings!$V$3*Q74)</f>
        <v/>
      </c>
      <c r="S74" s="72" t="str">
        <f t="shared" si="8"/>
        <v/>
      </c>
    </row>
    <row r="75" spans="1:19" ht="15.75" customHeight="1">
      <c r="A75" s="506"/>
      <c r="B75" s="51" t="str">
        <f>IF(ISBLANK(A75),"",VLOOKUP(A75,Management!$A$11:$C$25,2,0))</f>
        <v/>
      </c>
      <c r="C75" s="433"/>
      <c r="D75" s="421"/>
      <c r="E75" s="433"/>
      <c r="F75" s="434"/>
      <c r="G75" s="95" t="str">
        <f t="shared" si="2"/>
        <v/>
      </c>
      <c r="H75" s="435"/>
      <c r="I75" s="434"/>
      <c r="J75" s="95" t="str">
        <f t="shared" si="3"/>
        <v/>
      </c>
      <c r="K75" s="81"/>
      <c r="L75" s="362"/>
      <c r="M75" s="256" t="str">
        <f t="shared" si="7"/>
        <v/>
      </c>
      <c r="N75" s="184" t="str">
        <f>IF(OR(ISBLANK($D75),ISBLANK($K75),ISBLANK($L75)),"",IF($L75="0–9 km",0,IF(LEFT($D75,4)="Long",VLOOKUP($K75,Subsistence,2,0)*14+VLOOKUP($K75,Subsistence,3,0)*46+VLOOKUP($K75,Subsistence,4,0)*($F75-60),IF(RIGHT($D75,8)="students",IF($F75&lt;15,Ceilings!$S$6*$F75,Ceilings!$S$6*14+Ceilings!$S$7*($F75-14)),IF($F75&lt;15,Ceilings!$S$3*$F75,Ceilings!$S$3*14+Ceilings!$S$4*($F75-14))))))</f>
        <v/>
      </c>
      <c r="O75" s="185" t="str">
        <f>IF(OR(ISBLANK(D75),ISBLANK(H75),ISBLANK(K75),ISBLANK(L75)),"",IF(L75="0–9 km",0,IF(I75&lt;15,Ceilings!$S$3*I75,Ceilings!$S$3*14+Ceilings!$S$4*(I75-14))))</f>
        <v/>
      </c>
      <c r="P75" s="183" t="str">
        <f t="shared" si="9"/>
        <v/>
      </c>
      <c r="Q75" s="436"/>
      <c r="R75" s="266" t="str">
        <f>IF(OR(ISBLANK($D75),ISBLANK($K75),ISBLANK(Q75)),"",Ceilings!$V$3*Q75)</f>
        <v/>
      </c>
      <c r="S75" s="72" t="str">
        <f t="shared" si="8"/>
        <v/>
      </c>
    </row>
    <row r="76" spans="1:19" ht="15.75" customHeight="1">
      <c r="A76" s="506"/>
      <c r="B76" s="51" t="str">
        <f>IF(ISBLANK(A76),"",VLOOKUP(A76,Management!$A$11:$C$25,2,0))</f>
        <v/>
      </c>
      <c r="C76" s="433"/>
      <c r="D76" s="421"/>
      <c r="E76" s="433"/>
      <c r="F76" s="434"/>
      <c r="G76" s="95" t="str">
        <f t="shared" si="2"/>
        <v/>
      </c>
      <c r="H76" s="435"/>
      <c r="I76" s="434"/>
      <c r="J76" s="95" t="str">
        <f t="shared" si="3"/>
        <v/>
      </c>
      <c r="K76" s="81"/>
      <c r="L76" s="362"/>
      <c r="M76" s="256" t="str">
        <f t="shared" si="7"/>
        <v/>
      </c>
      <c r="N76" s="184" t="str">
        <f>IF(OR(ISBLANK($D76),ISBLANK($K76),ISBLANK($L76)),"",IF($L76="0–9 km",0,IF(LEFT($D76,4)="Long",VLOOKUP($K76,Subsistence,2,0)*14+VLOOKUP($K76,Subsistence,3,0)*46+VLOOKUP($K76,Subsistence,4,0)*($F76-60),IF(RIGHT($D76,8)="students",IF($F76&lt;15,Ceilings!$S$6*$F76,Ceilings!$S$6*14+Ceilings!$S$7*($F76-14)),IF($F76&lt;15,Ceilings!$S$3*$F76,Ceilings!$S$3*14+Ceilings!$S$4*($F76-14))))))</f>
        <v/>
      </c>
      <c r="O76" s="185" t="str">
        <f>IF(OR(ISBLANK(D76),ISBLANK(H76),ISBLANK(K76),ISBLANK(L76)),"",IF(L76="0–9 km",0,IF(I76&lt;15,Ceilings!$S$3*I76,Ceilings!$S$3*14+Ceilings!$S$4*(I76-14))))</f>
        <v/>
      </c>
      <c r="P76" s="183" t="str">
        <f t="shared" si="9"/>
        <v/>
      </c>
      <c r="Q76" s="436"/>
      <c r="R76" s="266" t="str">
        <f>IF(OR(ISBLANK($D76),ISBLANK($K76),ISBLANK(Q76)),"",Ceilings!$V$3*Q76)</f>
        <v/>
      </c>
      <c r="S76" s="72" t="str">
        <f t="shared" si="8"/>
        <v/>
      </c>
    </row>
    <row r="77" spans="1:19" ht="15.75" customHeight="1">
      <c r="A77" s="506"/>
      <c r="B77" s="51" t="str">
        <f>IF(ISBLANK(A77),"",VLOOKUP(A77,Management!$A$11:$C$25,2,0))</f>
        <v/>
      </c>
      <c r="C77" s="433"/>
      <c r="D77" s="421"/>
      <c r="E77" s="433"/>
      <c r="F77" s="434"/>
      <c r="G77" s="95" t="str">
        <f t="shared" si="2"/>
        <v/>
      </c>
      <c r="H77" s="435"/>
      <c r="I77" s="434"/>
      <c r="J77" s="95" t="str">
        <f t="shared" si="3"/>
        <v/>
      </c>
      <c r="K77" s="81"/>
      <c r="L77" s="362"/>
      <c r="M77" s="256" t="str">
        <f t="shared" si="7"/>
        <v/>
      </c>
      <c r="N77" s="184" t="str">
        <f>IF(OR(ISBLANK($D77),ISBLANK($K77),ISBLANK($L77)),"",IF($L77="0–9 km",0,IF(LEFT($D77,4)="Long",VLOOKUP($K77,Subsistence,2,0)*14+VLOOKUP($K77,Subsistence,3,0)*46+VLOOKUP($K77,Subsistence,4,0)*($F77-60),IF(RIGHT($D77,8)="students",IF($F77&lt;15,Ceilings!$S$6*$F77,Ceilings!$S$6*14+Ceilings!$S$7*($F77-14)),IF($F77&lt;15,Ceilings!$S$3*$F77,Ceilings!$S$3*14+Ceilings!$S$4*($F77-14))))))</f>
        <v/>
      </c>
      <c r="O77" s="185" t="str">
        <f>IF(OR(ISBLANK(D77),ISBLANK(H77),ISBLANK(K77),ISBLANK(L77)),"",IF(L77="0–9 km",0,IF(I77&lt;15,Ceilings!$S$3*I77,Ceilings!$S$3*14+Ceilings!$S$4*(I77-14))))</f>
        <v/>
      </c>
      <c r="P77" s="183" t="str">
        <f t="shared" si="9"/>
        <v/>
      </c>
      <c r="Q77" s="436"/>
      <c r="R77" s="266" t="str">
        <f>IF(OR(ISBLANK($D77),ISBLANK($K77),ISBLANK(Q77)),"",Ceilings!$V$3*Q77)</f>
        <v/>
      </c>
      <c r="S77" s="72" t="str">
        <f t="shared" si="8"/>
        <v/>
      </c>
    </row>
    <row r="78" spans="1:19" ht="15.75" customHeight="1">
      <c r="A78" s="506"/>
      <c r="B78" s="51" t="str">
        <f>IF(ISBLANK(A78),"",VLOOKUP(A78,Management!$A$11:$C$25,2,0))</f>
        <v/>
      </c>
      <c r="C78" s="433"/>
      <c r="D78" s="421"/>
      <c r="E78" s="433"/>
      <c r="F78" s="434"/>
      <c r="G78" s="95" t="str">
        <f t="shared" si="2"/>
        <v/>
      </c>
      <c r="H78" s="435"/>
      <c r="I78" s="434"/>
      <c r="J78" s="95" t="str">
        <f t="shared" si="3"/>
        <v/>
      </c>
      <c r="K78" s="81"/>
      <c r="L78" s="362"/>
      <c r="M78" s="256" t="str">
        <f t="shared" si="7"/>
        <v/>
      </c>
      <c r="N78" s="184" t="str">
        <f>IF(OR(ISBLANK($D78),ISBLANK($K78),ISBLANK($L78)),"",IF($L78="0–9 km",0,IF(LEFT($D78,4)="Long",VLOOKUP($K78,Subsistence,2,0)*14+VLOOKUP($K78,Subsistence,3,0)*46+VLOOKUP($K78,Subsistence,4,0)*($F78-60),IF(RIGHT($D78,8)="students",IF($F78&lt;15,Ceilings!$S$6*$F78,Ceilings!$S$6*14+Ceilings!$S$7*($F78-14)),IF($F78&lt;15,Ceilings!$S$3*$F78,Ceilings!$S$3*14+Ceilings!$S$4*($F78-14))))))</f>
        <v/>
      </c>
      <c r="O78" s="185" t="str">
        <f>IF(OR(ISBLANK(D78),ISBLANK(H78),ISBLANK(K78),ISBLANK(L78)),"",IF(L78="0–9 km",0,IF(I78&lt;15,Ceilings!$S$3*I78,Ceilings!$S$3*14+Ceilings!$S$4*(I78-14))))</f>
        <v/>
      </c>
      <c r="P78" s="183" t="str">
        <f t="shared" si="9"/>
        <v/>
      </c>
      <c r="Q78" s="436"/>
      <c r="R78" s="266" t="str">
        <f>IF(OR(ISBLANK($D78),ISBLANK($K78),ISBLANK(Q78)),"",Ceilings!$V$3*Q78)</f>
        <v/>
      </c>
      <c r="S78" s="72" t="str">
        <f t="shared" si="8"/>
        <v/>
      </c>
    </row>
    <row r="79" spans="1:19" ht="15.75" customHeight="1">
      <c r="A79" s="506"/>
      <c r="B79" s="51" t="str">
        <f>IF(ISBLANK(A79),"",VLOOKUP(A79,Management!$A$11:$C$25,2,0))</f>
        <v/>
      </c>
      <c r="C79" s="433"/>
      <c r="D79" s="421"/>
      <c r="E79" s="433"/>
      <c r="F79" s="434"/>
      <c r="G79" s="95" t="str">
        <f t="shared" si="2"/>
        <v/>
      </c>
      <c r="H79" s="435"/>
      <c r="I79" s="434"/>
      <c r="J79" s="95" t="str">
        <f t="shared" si="3"/>
        <v/>
      </c>
      <c r="K79" s="81"/>
      <c r="L79" s="362"/>
      <c r="M79" s="256" t="str">
        <f t="shared" si="7"/>
        <v/>
      </c>
      <c r="N79" s="184" t="str">
        <f>IF(OR(ISBLANK($D79),ISBLANK($K79),ISBLANK($L79)),"",IF($L79="0–9 km",0,IF(LEFT($D79,4)="Long",VLOOKUP($K79,Subsistence,2,0)*14+VLOOKUP($K79,Subsistence,3,0)*46+VLOOKUP($K79,Subsistence,4,0)*($F79-60),IF(RIGHT($D79,8)="students",IF($F79&lt;15,Ceilings!$S$6*$F79,Ceilings!$S$6*14+Ceilings!$S$7*($F79-14)),IF($F79&lt;15,Ceilings!$S$3*$F79,Ceilings!$S$3*14+Ceilings!$S$4*($F79-14))))))</f>
        <v/>
      </c>
      <c r="O79" s="185" t="str">
        <f>IF(OR(ISBLANK(D79),ISBLANK(H79),ISBLANK(K79),ISBLANK(L79)),"",IF(L79="0–9 km",0,IF(I79&lt;15,Ceilings!$S$3*I79,Ceilings!$S$3*14+Ceilings!$S$4*(I79-14))))</f>
        <v/>
      </c>
      <c r="P79" s="183" t="str">
        <f t="shared" si="9"/>
        <v/>
      </c>
      <c r="Q79" s="436"/>
      <c r="R79" s="266" t="str">
        <f>IF(OR(ISBLANK($D79),ISBLANK($K79),ISBLANK(Q79)),"",Ceilings!$V$3*Q79)</f>
        <v/>
      </c>
      <c r="S79" s="72" t="str">
        <f t="shared" si="8"/>
        <v/>
      </c>
    </row>
    <row r="80" spans="1:19" ht="15.75" customHeight="1">
      <c r="A80" s="506"/>
      <c r="B80" s="51" t="str">
        <f>IF(ISBLANK(A80),"",VLOOKUP(A80,Management!$A$11:$C$25,2,0))</f>
        <v/>
      </c>
      <c r="C80" s="433"/>
      <c r="D80" s="421"/>
      <c r="E80" s="433"/>
      <c r="F80" s="434"/>
      <c r="G80" s="95" t="str">
        <f t="shared" si="2"/>
        <v/>
      </c>
      <c r="H80" s="435"/>
      <c r="I80" s="434"/>
      <c r="J80" s="95" t="str">
        <f t="shared" si="3"/>
        <v/>
      </c>
      <c r="K80" s="81"/>
      <c r="L80" s="362"/>
      <c r="M80" s="256" t="str">
        <f t="shared" si="7"/>
        <v/>
      </c>
      <c r="N80" s="184" t="str">
        <f>IF(OR(ISBLANK($D80),ISBLANK($K80),ISBLANK($L80)),"",IF($L80="0–9 km",0,IF(LEFT($D80,4)="Long",VLOOKUP($K80,Subsistence,2,0)*14+VLOOKUP($K80,Subsistence,3,0)*46+VLOOKUP($K80,Subsistence,4,0)*($F80-60),IF(RIGHT($D80,8)="students",IF($F80&lt;15,Ceilings!$S$6*$F80,Ceilings!$S$6*14+Ceilings!$S$7*($F80-14)),IF($F80&lt;15,Ceilings!$S$3*$F80,Ceilings!$S$3*14+Ceilings!$S$4*($F80-14))))))</f>
        <v/>
      </c>
      <c r="O80" s="185" t="str">
        <f>IF(OR(ISBLANK(D80),ISBLANK(H80),ISBLANK(K80),ISBLANK(L80)),"",IF(L80="0–9 km",0,IF(I80&lt;15,Ceilings!$S$3*I80,Ceilings!$S$3*14+Ceilings!$S$4*(I80-14))))</f>
        <v/>
      </c>
      <c r="P80" s="183" t="str">
        <f t="shared" si="9"/>
        <v/>
      </c>
      <c r="Q80" s="436"/>
      <c r="R80" s="266" t="str">
        <f>IF(OR(ISBLANK($D80),ISBLANK($K80),ISBLANK(Q80)),"",Ceilings!$V$3*Q80)</f>
        <v/>
      </c>
      <c r="S80" s="72" t="str">
        <f t="shared" si="8"/>
        <v/>
      </c>
    </row>
    <row r="81" spans="1:19" ht="15.75" customHeight="1">
      <c r="A81" s="506"/>
      <c r="B81" s="51" t="str">
        <f>IF(ISBLANK(A81),"",VLOOKUP(A81,Management!$A$11:$C$25,2,0))</f>
        <v/>
      </c>
      <c r="C81" s="433"/>
      <c r="D81" s="421"/>
      <c r="E81" s="433"/>
      <c r="F81" s="434"/>
      <c r="G81" s="95" t="str">
        <f t="shared" si="2"/>
        <v/>
      </c>
      <c r="H81" s="435"/>
      <c r="I81" s="434"/>
      <c r="J81" s="95" t="str">
        <f t="shared" si="3"/>
        <v/>
      </c>
      <c r="K81" s="81"/>
      <c r="L81" s="362"/>
      <c r="M81" s="256" t="str">
        <f t="shared" si="7"/>
        <v/>
      </c>
      <c r="N81" s="184" t="str">
        <f>IF(OR(ISBLANK($D81),ISBLANK($K81),ISBLANK($L81)),"",IF($L81="0–9 km",0,IF(LEFT($D81,4)="Long",VLOOKUP($K81,Subsistence,2,0)*14+VLOOKUP($K81,Subsistence,3,0)*46+VLOOKUP($K81,Subsistence,4,0)*($F81-60),IF(RIGHT($D81,8)="students",IF($F81&lt;15,Ceilings!$S$6*$F81,Ceilings!$S$6*14+Ceilings!$S$7*($F81-14)),IF($F81&lt;15,Ceilings!$S$3*$F81,Ceilings!$S$3*14+Ceilings!$S$4*($F81-14))))))</f>
        <v/>
      </c>
      <c r="O81" s="185" t="str">
        <f>IF(OR(ISBLANK(D81),ISBLANK(H81),ISBLANK(K81),ISBLANK(L81)),"",IF(L81="0–9 km",0,IF(I81&lt;15,Ceilings!$S$3*I81,Ceilings!$S$3*14+Ceilings!$S$4*(I81-14))))</f>
        <v/>
      </c>
      <c r="P81" s="183" t="str">
        <f t="shared" si="9"/>
        <v/>
      </c>
      <c r="Q81" s="436"/>
      <c r="R81" s="266" t="str">
        <f>IF(OR(ISBLANK($D81),ISBLANK($K81),ISBLANK(Q81)),"",Ceilings!$V$3*Q81)</f>
        <v/>
      </c>
      <c r="S81" s="72" t="str">
        <f t="shared" si="8"/>
        <v/>
      </c>
    </row>
    <row r="82" spans="1:19" ht="15.75" customHeight="1">
      <c r="A82" s="506"/>
      <c r="B82" s="51" t="str">
        <f>IF(ISBLANK(A82),"",VLOOKUP(A82,Management!$A$11:$C$25,2,0))</f>
        <v/>
      </c>
      <c r="C82" s="433"/>
      <c r="D82" s="421"/>
      <c r="E82" s="433"/>
      <c r="F82" s="434"/>
      <c r="G82" s="95" t="str">
        <f t="shared" si="2"/>
        <v/>
      </c>
      <c r="H82" s="435"/>
      <c r="I82" s="434"/>
      <c r="J82" s="95" t="str">
        <f t="shared" si="3"/>
        <v/>
      </c>
      <c r="K82" s="81"/>
      <c r="L82" s="362"/>
      <c r="M82" s="256" t="str">
        <f t="shared" si="7"/>
        <v/>
      </c>
      <c r="N82" s="184" t="str">
        <f>IF(OR(ISBLANK($D82),ISBLANK($K82),ISBLANK($L82)),"",IF($L82="0–9 km",0,IF(LEFT($D82,4)="Long",VLOOKUP($K82,Subsistence,2,0)*14+VLOOKUP($K82,Subsistence,3,0)*46+VLOOKUP($K82,Subsistence,4,0)*($F82-60),IF(RIGHT($D82,8)="students",IF($F82&lt;15,Ceilings!$S$6*$F82,Ceilings!$S$6*14+Ceilings!$S$7*($F82-14)),IF($F82&lt;15,Ceilings!$S$3*$F82,Ceilings!$S$3*14+Ceilings!$S$4*($F82-14))))))</f>
        <v/>
      </c>
      <c r="O82" s="185" t="str">
        <f>IF(OR(ISBLANK(D82),ISBLANK(H82),ISBLANK(K82),ISBLANK(L82)),"",IF(L82="0–9 km",0,IF(I82&lt;15,Ceilings!$S$3*I82,Ceilings!$S$3*14+Ceilings!$S$4*(I82-14))))</f>
        <v/>
      </c>
      <c r="P82" s="183" t="str">
        <f t="shared" si="9"/>
        <v/>
      </c>
      <c r="Q82" s="436"/>
      <c r="R82" s="266" t="str">
        <f>IF(OR(ISBLANK($D82),ISBLANK($K82),ISBLANK(Q82)),"",Ceilings!$V$3*Q82)</f>
        <v/>
      </c>
      <c r="S82" s="72" t="str">
        <f t="shared" si="8"/>
        <v/>
      </c>
    </row>
    <row r="83" spans="1:19" ht="15.75" customHeight="1">
      <c r="A83" s="506"/>
      <c r="B83" s="51" t="str">
        <f>IF(ISBLANK(A83),"",VLOOKUP(A83,Management!$A$11:$C$25,2,0))</f>
        <v/>
      </c>
      <c r="C83" s="433"/>
      <c r="D83" s="421"/>
      <c r="E83" s="433"/>
      <c r="F83" s="434"/>
      <c r="G83" s="95" t="str">
        <f t="shared" si="2"/>
        <v/>
      </c>
      <c r="H83" s="435"/>
      <c r="I83" s="434"/>
      <c r="J83" s="95" t="str">
        <f t="shared" si="3"/>
        <v/>
      </c>
      <c r="K83" s="81"/>
      <c r="L83" s="362"/>
      <c r="M83" s="256" t="str">
        <f t="shared" si="7"/>
        <v/>
      </c>
      <c r="N83" s="184" t="str">
        <f>IF(OR(ISBLANK($D83),ISBLANK($K83),ISBLANK($L83)),"",IF($L83="0–9 km",0,IF(LEFT($D83,4)="Long",VLOOKUP($K83,Subsistence,2,0)*14+VLOOKUP($K83,Subsistence,3,0)*46+VLOOKUP($K83,Subsistence,4,0)*($F83-60),IF(RIGHT($D83,8)="students",IF($F83&lt;15,Ceilings!$S$6*$F83,Ceilings!$S$6*14+Ceilings!$S$7*($F83-14)),IF($F83&lt;15,Ceilings!$S$3*$F83,Ceilings!$S$3*14+Ceilings!$S$4*($F83-14))))))</f>
        <v/>
      </c>
      <c r="O83" s="185" t="str">
        <f>IF(OR(ISBLANK(D83),ISBLANK(H83),ISBLANK(K83),ISBLANK(L83)),"",IF(L83="0–9 km",0,IF(I83&lt;15,Ceilings!$S$3*I83,Ceilings!$S$3*14+Ceilings!$S$4*(I83-14))))</f>
        <v/>
      </c>
      <c r="P83" s="183" t="str">
        <f t="shared" si="9"/>
        <v/>
      </c>
      <c r="Q83" s="436"/>
      <c r="R83" s="266" t="str">
        <f>IF(OR(ISBLANK($D83),ISBLANK($K83),ISBLANK(Q83)),"",Ceilings!$V$3*Q83)</f>
        <v/>
      </c>
      <c r="S83" s="72" t="str">
        <f t="shared" si="8"/>
        <v/>
      </c>
    </row>
    <row r="84" spans="1:19" ht="15.75" customHeight="1">
      <c r="A84" s="506"/>
      <c r="B84" s="51" t="str">
        <f>IF(ISBLANK(A84),"",VLOOKUP(A84,Management!$A$11:$C$25,2,0))</f>
        <v/>
      </c>
      <c r="C84" s="433"/>
      <c r="D84" s="421"/>
      <c r="E84" s="433"/>
      <c r="F84" s="434"/>
      <c r="G84" s="95" t="str">
        <f t="shared" si="2"/>
        <v/>
      </c>
      <c r="H84" s="435"/>
      <c r="I84" s="434"/>
      <c r="J84" s="95" t="str">
        <f t="shared" si="3"/>
        <v/>
      </c>
      <c r="K84" s="81"/>
      <c r="L84" s="362"/>
      <c r="M84" s="256" t="str">
        <f t="shared" si="7"/>
        <v/>
      </c>
      <c r="N84" s="184" t="str">
        <f>IF(OR(ISBLANK($D84),ISBLANK($K84),ISBLANK($L84)),"",IF($L84="0–9 km",0,IF(LEFT($D84,4)="Long",VLOOKUP($K84,Subsistence,2,0)*14+VLOOKUP($K84,Subsistence,3,0)*46+VLOOKUP($K84,Subsistence,4,0)*($F84-60),IF(RIGHT($D84,8)="students",IF($F84&lt;15,Ceilings!$S$6*$F84,Ceilings!$S$6*14+Ceilings!$S$7*($F84-14)),IF($F84&lt;15,Ceilings!$S$3*$F84,Ceilings!$S$3*14+Ceilings!$S$4*($F84-14))))))</f>
        <v/>
      </c>
      <c r="O84" s="185" t="str">
        <f>IF(OR(ISBLANK(D84),ISBLANK(H84),ISBLANK(K84),ISBLANK(L84)),"",IF(L84="0–9 km",0,IF(I84&lt;15,Ceilings!$S$3*I84,Ceilings!$S$3*14+Ceilings!$S$4*(I84-14))))</f>
        <v/>
      </c>
      <c r="P84" s="183" t="str">
        <f t="shared" si="9"/>
        <v/>
      </c>
      <c r="Q84" s="436"/>
      <c r="R84" s="266" t="str">
        <f>IF(OR(ISBLANK($D84),ISBLANK($K84),ISBLANK(Q84)),"",Ceilings!$V$3*Q84)</f>
        <v/>
      </c>
      <c r="S84" s="72" t="str">
        <f t="shared" si="8"/>
        <v/>
      </c>
    </row>
    <row r="85" spans="1:19" ht="15.75" customHeight="1">
      <c r="A85" s="506"/>
      <c r="B85" s="51" t="str">
        <f>IF(ISBLANK(A85),"",VLOOKUP(A85,Management!$A$11:$C$25,2,0))</f>
        <v/>
      </c>
      <c r="C85" s="433"/>
      <c r="D85" s="421"/>
      <c r="E85" s="433"/>
      <c r="F85" s="434"/>
      <c r="G85" s="95" t="str">
        <f t="shared" si="2"/>
        <v/>
      </c>
      <c r="H85" s="435"/>
      <c r="I85" s="434"/>
      <c r="J85" s="95" t="str">
        <f t="shared" si="3"/>
        <v/>
      </c>
      <c r="K85" s="81"/>
      <c r="L85" s="362"/>
      <c r="M85" s="256" t="str">
        <f t="shared" si="7"/>
        <v/>
      </c>
      <c r="N85" s="184" t="str">
        <f>IF(OR(ISBLANK($D85),ISBLANK($K85),ISBLANK($L85)),"",IF($L85="0–9 km",0,IF(LEFT($D85,4)="Long",VLOOKUP($K85,Subsistence,2,0)*14+VLOOKUP($K85,Subsistence,3,0)*46+VLOOKUP($K85,Subsistence,4,0)*($F85-60),IF(RIGHT($D85,8)="students",IF($F85&lt;15,Ceilings!$S$6*$F85,Ceilings!$S$6*14+Ceilings!$S$7*($F85-14)),IF($F85&lt;15,Ceilings!$S$3*$F85,Ceilings!$S$3*14+Ceilings!$S$4*($F85-14))))))</f>
        <v/>
      </c>
      <c r="O85" s="185" t="str">
        <f>IF(OR(ISBLANK(D85),ISBLANK(H85),ISBLANK(K85),ISBLANK(L85)),"",IF(L85="0–9 km",0,IF(I85&lt;15,Ceilings!$S$3*I85,Ceilings!$S$3*14+Ceilings!$S$4*(I85-14))))</f>
        <v/>
      </c>
      <c r="P85" s="183" t="str">
        <f t="shared" si="9"/>
        <v/>
      </c>
      <c r="Q85" s="436"/>
      <c r="R85" s="266" t="str">
        <f>IF(OR(ISBLANK($D85),ISBLANK($K85),ISBLANK(Q85)),"",Ceilings!$V$3*Q85)</f>
        <v/>
      </c>
      <c r="S85" s="72" t="str">
        <f t="shared" si="8"/>
        <v/>
      </c>
    </row>
    <row r="86" spans="1:19" ht="15.75" customHeight="1">
      <c r="A86" s="506"/>
      <c r="B86" s="51" t="str">
        <f>IF(ISBLANK(A86),"",VLOOKUP(A86,Management!$A$11:$C$25,2,0))</f>
        <v/>
      </c>
      <c r="C86" s="433"/>
      <c r="D86" s="421"/>
      <c r="E86" s="433"/>
      <c r="F86" s="434"/>
      <c r="G86" s="95" t="str">
        <f t="shared" si="2"/>
        <v/>
      </c>
      <c r="H86" s="435"/>
      <c r="I86" s="434"/>
      <c r="J86" s="95" t="str">
        <f t="shared" si="3"/>
        <v/>
      </c>
      <c r="K86" s="81"/>
      <c r="L86" s="362"/>
      <c r="M86" s="256" t="str">
        <f t="shared" si="7"/>
        <v/>
      </c>
      <c r="N86" s="184" t="str">
        <f>IF(OR(ISBLANK($D86),ISBLANK($K86),ISBLANK($L86)),"",IF($L86="0–9 km",0,IF(LEFT($D86,4)="Long",VLOOKUP($K86,Subsistence,2,0)*14+VLOOKUP($K86,Subsistence,3,0)*46+VLOOKUP($K86,Subsistence,4,0)*($F86-60),IF(RIGHT($D86,8)="students",IF($F86&lt;15,Ceilings!$S$6*$F86,Ceilings!$S$6*14+Ceilings!$S$7*($F86-14)),IF($F86&lt;15,Ceilings!$S$3*$F86,Ceilings!$S$3*14+Ceilings!$S$4*($F86-14))))))</f>
        <v/>
      </c>
      <c r="O86" s="185" t="str">
        <f>IF(OR(ISBLANK(D86),ISBLANK(H86),ISBLANK(K86),ISBLANK(L86)),"",IF(L86="0–9 km",0,IF(I86&lt;15,Ceilings!$S$3*I86,Ceilings!$S$3*14+Ceilings!$S$4*(I86-14))))</f>
        <v/>
      </c>
      <c r="P86" s="183" t="str">
        <f t="shared" si="9"/>
        <v/>
      </c>
      <c r="Q86" s="436"/>
      <c r="R86" s="266" t="str">
        <f>IF(OR(ISBLANK($D86),ISBLANK($K86),ISBLANK(Q86)),"",Ceilings!$V$3*Q86)</f>
        <v/>
      </c>
      <c r="S86" s="72" t="str">
        <f t="shared" si="8"/>
        <v/>
      </c>
    </row>
    <row r="87" spans="1:19" ht="15.75" customHeight="1">
      <c r="A87" s="506"/>
      <c r="B87" s="51" t="str">
        <f>IF(ISBLANK(A87),"",VLOOKUP(A87,Management!$A$11:$C$25,2,0))</f>
        <v/>
      </c>
      <c r="C87" s="433"/>
      <c r="D87" s="421"/>
      <c r="E87" s="433"/>
      <c r="F87" s="434"/>
      <c r="G87" s="95" t="str">
        <f t="shared" si="2"/>
        <v/>
      </c>
      <c r="H87" s="435"/>
      <c r="I87" s="434"/>
      <c r="J87" s="95" t="str">
        <f t="shared" si="3"/>
        <v/>
      </c>
      <c r="K87" s="81"/>
      <c r="L87" s="362"/>
      <c r="M87" s="256" t="str">
        <f t="shared" si="7"/>
        <v/>
      </c>
      <c r="N87" s="184" t="str">
        <f>IF(OR(ISBLANK($D87),ISBLANK($K87),ISBLANK($L87)),"",IF($L87="0–9 km",0,IF(LEFT($D87,4)="Long",VLOOKUP($K87,Subsistence,2,0)*14+VLOOKUP($K87,Subsistence,3,0)*46+VLOOKUP($K87,Subsistence,4,0)*($F87-60),IF(RIGHT($D87,8)="students",IF($F87&lt;15,Ceilings!$S$6*$F87,Ceilings!$S$6*14+Ceilings!$S$7*($F87-14)),IF($F87&lt;15,Ceilings!$S$3*$F87,Ceilings!$S$3*14+Ceilings!$S$4*($F87-14))))))</f>
        <v/>
      </c>
      <c r="O87" s="185" t="str">
        <f>IF(OR(ISBLANK(D87),ISBLANK(H87),ISBLANK(K87),ISBLANK(L87)),"",IF(L87="0–9 km",0,IF(I87&lt;15,Ceilings!$S$3*I87,Ceilings!$S$3*14+Ceilings!$S$4*(I87-14))))</f>
        <v/>
      </c>
      <c r="P87" s="183" t="str">
        <f t="shared" si="9"/>
        <v/>
      </c>
      <c r="Q87" s="436"/>
      <c r="R87" s="266" t="str">
        <f>IF(OR(ISBLANK($D87),ISBLANK($K87),ISBLANK(Q87)),"",Ceilings!$V$3*Q87)</f>
        <v/>
      </c>
      <c r="S87" s="72" t="str">
        <f t="shared" si="8"/>
        <v/>
      </c>
    </row>
    <row r="88" spans="1:19" ht="15.75" customHeight="1">
      <c r="A88" s="506"/>
      <c r="B88" s="51" t="str">
        <f>IF(ISBLANK(A88),"",VLOOKUP(A88,Management!$A$11:$C$25,2,0))</f>
        <v/>
      </c>
      <c r="C88" s="433"/>
      <c r="D88" s="421"/>
      <c r="E88" s="433"/>
      <c r="F88" s="434"/>
      <c r="G88" s="95" t="str">
        <f t="shared" si="2"/>
        <v/>
      </c>
      <c r="H88" s="435"/>
      <c r="I88" s="434"/>
      <c r="J88" s="95" t="str">
        <f t="shared" si="3"/>
        <v/>
      </c>
      <c r="K88" s="81"/>
      <c r="L88" s="362"/>
      <c r="M88" s="256" t="str">
        <f t="shared" si="7"/>
        <v/>
      </c>
      <c r="N88" s="184" t="str">
        <f>IF(OR(ISBLANK($D88),ISBLANK($K88),ISBLANK($L88)),"",IF($L88="0–9 km",0,IF(LEFT($D88,4)="Long",VLOOKUP($K88,Subsistence,2,0)*14+VLOOKUP($K88,Subsistence,3,0)*46+VLOOKUP($K88,Subsistence,4,0)*($F88-60),IF(RIGHT($D88,8)="students",IF($F88&lt;15,Ceilings!$S$6*$F88,Ceilings!$S$6*14+Ceilings!$S$7*($F88-14)),IF($F88&lt;15,Ceilings!$S$3*$F88,Ceilings!$S$3*14+Ceilings!$S$4*($F88-14))))))</f>
        <v/>
      </c>
      <c r="O88" s="185" t="str">
        <f>IF(OR(ISBLANK(D88),ISBLANK(H88),ISBLANK(K88),ISBLANK(L88)),"",IF(L88="0–9 km",0,IF(I88&lt;15,Ceilings!$S$3*I88,Ceilings!$S$3*14+Ceilings!$S$4*(I88-14))))</f>
        <v/>
      </c>
      <c r="P88" s="183" t="str">
        <f t="shared" si="9"/>
        <v/>
      </c>
      <c r="Q88" s="436"/>
      <c r="R88" s="266" t="str">
        <f>IF(OR(ISBLANK($D88),ISBLANK($K88),ISBLANK(Q88)),"",Ceilings!$V$3*Q88)</f>
        <v/>
      </c>
      <c r="S88" s="72" t="str">
        <f t="shared" si="8"/>
        <v/>
      </c>
    </row>
    <row r="89" spans="1:19" ht="15.75" customHeight="1">
      <c r="A89" s="506"/>
      <c r="B89" s="51" t="str">
        <f>IF(ISBLANK(A89),"",VLOOKUP(A89,Management!$A$11:$C$25,2,0))</f>
        <v/>
      </c>
      <c r="C89" s="433"/>
      <c r="D89" s="421"/>
      <c r="E89" s="433"/>
      <c r="F89" s="434"/>
      <c r="G89" s="95" t="str">
        <f t="shared" si="2"/>
        <v/>
      </c>
      <c r="H89" s="435"/>
      <c r="I89" s="434"/>
      <c r="J89" s="95" t="str">
        <f t="shared" si="3"/>
        <v/>
      </c>
      <c r="K89" s="81"/>
      <c r="L89" s="362"/>
      <c r="M89" s="256" t="str">
        <f t="shared" si="7"/>
        <v/>
      </c>
      <c r="N89" s="184" t="str">
        <f>IF(OR(ISBLANK($D89),ISBLANK($K89),ISBLANK($L89)),"",IF($L89="0–9 km",0,IF(LEFT($D89,4)="Long",VLOOKUP($K89,Subsistence,2,0)*14+VLOOKUP($K89,Subsistence,3,0)*46+VLOOKUP($K89,Subsistence,4,0)*($F89-60),IF(RIGHT($D89,8)="students",IF($F89&lt;15,Ceilings!$S$6*$F89,Ceilings!$S$6*14+Ceilings!$S$7*($F89-14)),IF($F89&lt;15,Ceilings!$S$3*$F89,Ceilings!$S$3*14+Ceilings!$S$4*($F89-14))))))</f>
        <v/>
      </c>
      <c r="O89" s="185" t="str">
        <f>IF(OR(ISBLANK(D89),ISBLANK(H89),ISBLANK(K89),ISBLANK(L89)),"",IF(L89="0–9 km",0,IF(I89&lt;15,Ceilings!$S$3*I89,Ceilings!$S$3*14+Ceilings!$S$4*(I89-14))))</f>
        <v/>
      </c>
      <c r="P89" s="183" t="str">
        <f t="shared" si="9"/>
        <v/>
      </c>
      <c r="Q89" s="436"/>
      <c r="R89" s="266" t="str">
        <f>IF(OR(ISBLANK($D89),ISBLANK($K89),ISBLANK(Q89)),"",Ceilings!$V$3*Q89)</f>
        <v/>
      </c>
      <c r="S89" s="72" t="str">
        <f t="shared" si="8"/>
        <v/>
      </c>
    </row>
    <row r="90" spans="1:19" ht="15.75" customHeight="1">
      <c r="A90" s="506"/>
      <c r="B90" s="51" t="str">
        <f>IF(ISBLANK(A90),"",VLOOKUP(A90,Management!$A$11:$C$25,2,0))</f>
        <v/>
      </c>
      <c r="C90" s="433"/>
      <c r="D90" s="421"/>
      <c r="E90" s="433"/>
      <c r="F90" s="434"/>
      <c r="G90" s="95" t="str">
        <f t="shared" si="2"/>
        <v/>
      </c>
      <c r="H90" s="435"/>
      <c r="I90" s="434"/>
      <c r="J90" s="95" t="str">
        <f t="shared" si="3"/>
        <v/>
      </c>
      <c r="K90" s="81"/>
      <c r="L90" s="362"/>
      <c r="M90" s="256" t="str">
        <f t="shared" si="7"/>
        <v/>
      </c>
      <c r="N90" s="184" t="str">
        <f>IF(OR(ISBLANK($D90),ISBLANK($K90),ISBLANK($L90)),"",IF($L90="0–9 km",0,IF(LEFT($D90,4)="Long",VLOOKUP($K90,Subsistence,2,0)*14+VLOOKUP($K90,Subsistence,3,0)*46+VLOOKUP($K90,Subsistence,4,0)*($F90-60),IF(RIGHT($D90,8)="students",IF($F90&lt;15,Ceilings!$S$6*$F90,Ceilings!$S$6*14+Ceilings!$S$7*($F90-14)),IF($F90&lt;15,Ceilings!$S$3*$F90,Ceilings!$S$3*14+Ceilings!$S$4*($F90-14))))))</f>
        <v/>
      </c>
      <c r="O90" s="185" t="str">
        <f>IF(OR(ISBLANK(D90),ISBLANK(H90),ISBLANK(K90),ISBLANK(L90)),"",IF(L90="0–9 km",0,IF(I90&lt;15,Ceilings!$S$3*I90,Ceilings!$S$3*14+Ceilings!$S$4*(I90-14))))</f>
        <v/>
      </c>
      <c r="P90" s="183" t="str">
        <f t="shared" si="9"/>
        <v/>
      </c>
      <c r="Q90" s="436"/>
      <c r="R90" s="266" t="str">
        <f>IF(OR(ISBLANK($D90),ISBLANK($K90),ISBLANK(Q90)),"",Ceilings!$V$3*Q90)</f>
        <v/>
      </c>
      <c r="S90" s="72" t="str">
        <f t="shared" si="8"/>
        <v/>
      </c>
    </row>
    <row r="91" spans="1:19" ht="15.75" customHeight="1">
      <c r="A91" s="506"/>
      <c r="B91" s="51" t="str">
        <f>IF(ISBLANK(A91),"",VLOOKUP(A91,Management!$A$11:$C$25,2,0))</f>
        <v/>
      </c>
      <c r="C91" s="433"/>
      <c r="D91" s="421"/>
      <c r="E91" s="433"/>
      <c r="F91" s="434"/>
      <c r="G91" s="95" t="str">
        <f t="shared" si="2"/>
        <v/>
      </c>
      <c r="H91" s="435"/>
      <c r="I91" s="434"/>
      <c r="J91" s="95" t="str">
        <f t="shared" si="3"/>
        <v/>
      </c>
      <c r="K91" s="81"/>
      <c r="L91" s="362"/>
      <c r="M91" s="256" t="str">
        <f t="shared" si="7"/>
        <v/>
      </c>
      <c r="N91" s="184" t="str">
        <f>IF(OR(ISBLANK($D91),ISBLANK($K91),ISBLANK($L91)),"",IF($L91="0–9 km",0,IF(LEFT($D91,4)="Long",VLOOKUP($K91,Subsistence,2,0)*14+VLOOKUP($K91,Subsistence,3,0)*46+VLOOKUP($K91,Subsistence,4,0)*($F91-60),IF(RIGHT($D91,8)="students",IF($F91&lt;15,Ceilings!$S$6*$F91,Ceilings!$S$6*14+Ceilings!$S$7*($F91-14)),IF($F91&lt;15,Ceilings!$S$3*$F91,Ceilings!$S$3*14+Ceilings!$S$4*($F91-14))))))</f>
        <v/>
      </c>
      <c r="O91" s="185" t="str">
        <f>IF(OR(ISBLANK(D91),ISBLANK(H91),ISBLANK(K91),ISBLANK(L91)),"",IF(L91="0–9 km",0,IF(I91&lt;15,Ceilings!$S$3*I91,Ceilings!$S$3*14+Ceilings!$S$4*(I91-14))))</f>
        <v/>
      </c>
      <c r="P91" s="183" t="str">
        <f t="shared" si="9"/>
        <v/>
      </c>
      <c r="Q91" s="436"/>
      <c r="R91" s="266" t="str">
        <f>IF(OR(ISBLANK($D91),ISBLANK($K91),ISBLANK(Q91)),"",Ceilings!$V$3*Q91)</f>
        <v/>
      </c>
      <c r="S91" s="72" t="str">
        <f t="shared" si="8"/>
        <v/>
      </c>
    </row>
    <row r="92" spans="1:19" ht="15.75" customHeight="1">
      <c r="A92" s="506"/>
      <c r="B92" s="51" t="str">
        <f>IF(ISBLANK(A92),"",VLOOKUP(A92,Management!$A$11:$C$25,2,0))</f>
        <v/>
      </c>
      <c r="C92" s="433"/>
      <c r="D92" s="421"/>
      <c r="E92" s="433"/>
      <c r="F92" s="434"/>
      <c r="G92" s="95" t="str">
        <f t="shared" si="2"/>
        <v/>
      </c>
      <c r="H92" s="435"/>
      <c r="I92" s="434"/>
      <c r="J92" s="95" t="str">
        <f t="shared" si="3"/>
        <v/>
      </c>
      <c r="K92" s="81"/>
      <c r="L92" s="362"/>
      <c r="M92" s="256" t="str">
        <f t="shared" si="7"/>
        <v/>
      </c>
      <c r="N92" s="184" t="str">
        <f>IF(OR(ISBLANK($D92),ISBLANK($K92),ISBLANK($L92)),"",IF($L92="0–9 km",0,IF(LEFT($D92,4)="Long",VLOOKUP($K92,Subsistence,2,0)*14+VLOOKUP($K92,Subsistence,3,0)*46+VLOOKUP($K92,Subsistence,4,0)*($F92-60),IF(RIGHT($D92,8)="students",IF($F92&lt;15,Ceilings!$S$6*$F92,Ceilings!$S$6*14+Ceilings!$S$7*($F92-14)),IF($F92&lt;15,Ceilings!$S$3*$F92,Ceilings!$S$3*14+Ceilings!$S$4*($F92-14))))))</f>
        <v/>
      </c>
      <c r="O92" s="185" t="str">
        <f>IF(OR(ISBLANK(D92),ISBLANK(H92),ISBLANK(K92),ISBLANK(L92)),"",IF(L92="0–9 km",0,IF(I92&lt;15,Ceilings!$S$3*I92,Ceilings!$S$3*14+Ceilings!$S$4*(I92-14))))</f>
        <v/>
      </c>
      <c r="P92" s="183" t="str">
        <f t="shared" si="9"/>
        <v/>
      </c>
      <c r="Q92" s="436"/>
      <c r="R92" s="266" t="str">
        <f>IF(OR(ISBLANK($D92),ISBLANK($K92),ISBLANK(Q92)),"",Ceilings!$V$3*Q92)</f>
        <v/>
      </c>
      <c r="S92" s="72" t="str">
        <f t="shared" si="8"/>
        <v/>
      </c>
    </row>
    <row r="93" spans="1:19" ht="15.75" customHeight="1">
      <c r="A93" s="506"/>
      <c r="B93" s="51" t="str">
        <f>IF(ISBLANK(A93),"",VLOOKUP(A93,Management!$A$11:$C$25,2,0))</f>
        <v/>
      </c>
      <c r="C93" s="433"/>
      <c r="D93" s="421"/>
      <c r="E93" s="433"/>
      <c r="F93" s="434"/>
      <c r="G93" s="95" t="str">
        <f t="shared" si="2"/>
        <v/>
      </c>
      <c r="H93" s="435"/>
      <c r="I93" s="434"/>
      <c r="J93" s="95" t="str">
        <f t="shared" si="3"/>
        <v/>
      </c>
      <c r="K93" s="81"/>
      <c r="L93" s="362"/>
      <c r="M93" s="256" t="str">
        <f t="shared" si="7"/>
        <v/>
      </c>
      <c r="N93" s="184" t="str">
        <f>IF(OR(ISBLANK($D93),ISBLANK($K93),ISBLANK($L93)),"",IF($L93="0–9 km",0,IF(LEFT($D93,4)="Long",VLOOKUP($K93,Subsistence,2,0)*14+VLOOKUP($K93,Subsistence,3,0)*46+VLOOKUP($K93,Subsistence,4,0)*($F93-60),IF(RIGHT($D93,8)="students",IF($F93&lt;15,Ceilings!$S$6*$F93,Ceilings!$S$6*14+Ceilings!$S$7*($F93-14)),IF($F93&lt;15,Ceilings!$S$3*$F93,Ceilings!$S$3*14+Ceilings!$S$4*($F93-14))))))</f>
        <v/>
      </c>
      <c r="O93" s="185" t="str">
        <f>IF(OR(ISBLANK(D93),ISBLANK(H93),ISBLANK(K93),ISBLANK(L93)),"",IF(L93="0–9 km",0,IF(I93&lt;15,Ceilings!$S$3*I93,Ceilings!$S$3*14+Ceilings!$S$4*(I93-14))))</f>
        <v/>
      </c>
      <c r="P93" s="183" t="str">
        <f t="shared" si="9"/>
        <v/>
      </c>
      <c r="Q93" s="436"/>
      <c r="R93" s="266" t="str">
        <f>IF(OR(ISBLANK($D93),ISBLANK($K93),ISBLANK(Q93)),"",Ceilings!$V$3*Q93)</f>
        <v/>
      </c>
      <c r="S93" s="72" t="str">
        <f t="shared" si="8"/>
        <v/>
      </c>
    </row>
    <row r="94" spans="1:19" ht="15.75" customHeight="1">
      <c r="A94" s="506"/>
      <c r="B94" s="51" t="str">
        <f>IF(ISBLANK(A94),"",VLOOKUP(A94,Management!$A$11:$C$25,2,0))</f>
        <v/>
      </c>
      <c r="C94" s="433"/>
      <c r="D94" s="421"/>
      <c r="E94" s="433"/>
      <c r="F94" s="434"/>
      <c r="G94" s="95" t="str">
        <f t="shared" si="2"/>
        <v/>
      </c>
      <c r="H94" s="435"/>
      <c r="I94" s="434"/>
      <c r="J94" s="95" t="str">
        <f t="shared" si="3"/>
        <v/>
      </c>
      <c r="K94" s="81"/>
      <c r="L94" s="362"/>
      <c r="M94" s="256" t="str">
        <f t="shared" si="7"/>
        <v/>
      </c>
      <c r="N94" s="184" t="str">
        <f>IF(OR(ISBLANK($D94),ISBLANK($K94),ISBLANK($L94)),"",IF($L94="0–9 km",0,IF(LEFT($D94,4)="Long",VLOOKUP($K94,Subsistence,2,0)*14+VLOOKUP($K94,Subsistence,3,0)*46+VLOOKUP($K94,Subsistence,4,0)*($F94-60),IF(RIGHT($D94,8)="students",IF($F94&lt;15,Ceilings!$S$6*$F94,Ceilings!$S$6*14+Ceilings!$S$7*($F94-14)),IF($F94&lt;15,Ceilings!$S$3*$F94,Ceilings!$S$3*14+Ceilings!$S$4*($F94-14))))))</f>
        <v/>
      </c>
      <c r="O94" s="185" t="str">
        <f>IF(OR(ISBLANK(D94),ISBLANK(H94),ISBLANK(K94),ISBLANK(L94)),"",IF(L94="0–9 km",0,IF(I94&lt;15,Ceilings!$S$3*I94,Ceilings!$S$3*14+Ceilings!$S$4*(I94-14))))</f>
        <v/>
      </c>
      <c r="P94" s="183" t="str">
        <f t="shared" si="9"/>
        <v/>
      </c>
      <c r="Q94" s="436"/>
      <c r="R94" s="266" t="str">
        <f>IF(OR(ISBLANK($D94),ISBLANK($K94),ISBLANK(Q94)),"",Ceilings!$V$3*Q94)</f>
        <v/>
      </c>
      <c r="S94" s="72" t="str">
        <f t="shared" si="8"/>
        <v/>
      </c>
    </row>
    <row r="95" spans="1:19" ht="15.75" customHeight="1">
      <c r="A95" s="506"/>
      <c r="B95" s="51" t="str">
        <f>IF(ISBLANK(A95),"",VLOOKUP(A95,Management!$A$11:$C$25,2,0))</f>
        <v/>
      </c>
      <c r="C95" s="433"/>
      <c r="D95" s="421"/>
      <c r="E95" s="433"/>
      <c r="F95" s="434"/>
      <c r="G95" s="95" t="str">
        <f t="shared" si="2"/>
        <v/>
      </c>
      <c r="H95" s="435"/>
      <c r="I95" s="434"/>
      <c r="J95" s="95" t="str">
        <f t="shared" si="3"/>
        <v/>
      </c>
      <c r="K95" s="81"/>
      <c r="L95" s="362"/>
      <c r="M95" s="256" t="str">
        <f t="shared" si="7"/>
        <v/>
      </c>
      <c r="N95" s="184" t="str">
        <f>IF(OR(ISBLANK($D95),ISBLANK($K95),ISBLANK($L95)),"",IF($L95="0–9 km",0,IF(LEFT($D95,4)="Long",VLOOKUP($K95,Subsistence,2,0)*14+VLOOKUP($K95,Subsistence,3,0)*46+VLOOKUP($K95,Subsistence,4,0)*($F95-60),IF(RIGHT($D95,8)="students",IF($F95&lt;15,Ceilings!$S$6*$F95,Ceilings!$S$6*14+Ceilings!$S$7*($F95-14)),IF($F95&lt;15,Ceilings!$S$3*$F95,Ceilings!$S$3*14+Ceilings!$S$4*($F95-14))))))</f>
        <v/>
      </c>
      <c r="O95" s="185" t="str">
        <f>IF(OR(ISBLANK(D95),ISBLANK(H95),ISBLANK(K95),ISBLANK(L95)),"",IF(L95="0–9 km",0,IF(I95&lt;15,Ceilings!$S$3*I95,Ceilings!$S$3*14+Ceilings!$S$4*(I95-14))))</f>
        <v/>
      </c>
      <c r="P95" s="183" t="str">
        <f t="shared" si="9"/>
        <v/>
      </c>
      <c r="Q95" s="436"/>
      <c r="R95" s="266" t="str">
        <f>IF(OR(ISBLANK($D95),ISBLANK($K95),ISBLANK(Q95)),"",Ceilings!$V$3*Q95)</f>
        <v/>
      </c>
      <c r="S95" s="72" t="str">
        <f t="shared" si="8"/>
        <v/>
      </c>
    </row>
    <row r="96" spans="1:19" ht="15.75" customHeight="1">
      <c r="A96" s="506"/>
      <c r="B96" s="51" t="str">
        <f>IF(ISBLANK(A96),"",VLOOKUP(A96,Management!$A$11:$C$25,2,0))</f>
        <v/>
      </c>
      <c r="C96" s="433"/>
      <c r="D96" s="421"/>
      <c r="E96" s="433"/>
      <c r="F96" s="434"/>
      <c r="G96" s="95" t="str">
        <f t="shared" si="2"/>
        <v/>
      </c>
      <c r="H96" s="435"/>
      <c r="I96" s="434"/>
      <c r="J96" s="95" t="str">
        <f t="shared" si="3"/>
        <v/>
      </c>
      <c r="K96" s="81"/>
      <c r="L96" s="362"/>
      <c r="M96" s="256" t="str">
        <f t="shared" si="7"/>
        <v/>
      </c>
      <c r="N96" s="184" t="str">
        <f>IF(OR(ISBLANK($D96),ISBLANK($K96),ISBLANK($L96)),"",IF($L96="0–9 km",0,IF(LEFT($D96,4)="Long",VLOOKUP($K96,Subsistence,2,0)*14+VLOOKUP($K96,Subsistence,3,0)*46+VLOOKUP($K96,Subsistence,4,0)*($F96-60),IF(RIGHT($D96,8)="students",IF($F96&lt;15,Ceilings!$S$6*$F96,Ceilings!$S$6*14+Ceilings!$S$7*($F96-14)),IF($F96&lt;15,Ceilings!$S$3*$F96,Ceilings!$S$3*14+Ceilings!$S$4*($F96-14))))))</f>
        <v/>
      </c>
      <c r="O96" s="185" t="str">
        <f>IF(OR(ISBLANK(D96),ISBLANK(H96),ISBLANK(K96),ISBLANK(L96)),"",IF(L96="0–9 km",0,IF(I96&lt;15,Ceilings!$S$3*I96,Ceilings!$S$3*14+Ceilings!$S$4*(I96-14))))</f>
        <v/>
      </c>
      <c r="P96" s="183" t="str">
        <f t="shared" si="9"/>
        <v/>
      </c>
      <c r="Q96" s="436"/>
      <c r="R96" s="266" t="str">
        <f>IF(OR(ISBLANK($D96),ISBLANK($K96),ISBLANK(Q96)),"",Ceilings!$V$3*Q96)</f>
        <v/>
      </c>
      <c r="S96" s="72" t="str">
        <f t="shared" si="8"/>
        <v/>
      </c>
    </row>
    <row r="97" spans="1:19" ht="15.75" customHeight="1">
      <c r="A97" s="506"/>
      <c r="B97" s="51" t="str">
        <f>IF(ISBLANK(A97),"",VLOOKUP(A97,Management!$A$11:$C$25,2,0))</f>
        <v/>
      </c>
      <c r="C97" s="433"/>
      <c r="D97" s="421"/>
      <c r="E97" s="433"/>
      <c r="F97" s="434"/>
      <c r="G97" s="95" t="str">
        <f t="shared" si="2"/>
        <v/>
      </c>
      <c r="H97" s="435"/>
      <c r="I97" s="434"/>
      <c r="J97" s="95" t="str">
        <f t="shared" si="3"/>
        <v/>
      </c>
      <c r="K97" s="81"/>
      <c r="L97" s="362"/>
      <c r="M97" s="256" t="str">
        <f t="shared" si="7"/>
        <v/>
      </c>
      <c r="N97" s="184" t="str">
        <f>IF(OR(ISBLANK($D97),ISBLANK($K97),ISBLANK($L97)),"",IF($L97="0–9 km",0,IF(LEFT($D97,4)="Long",VLOOKUP($K97,Subsistence,2,0)*14+VLOOKUP($K97,Subsistence,3,0)*46+VLOOKUP($K97,Subsistence,4,0)*($F97-60),IF(RIGHT($D97,8)="students",IF($F97&lt;15,Ceilings!$S$6*$F97,Ceilings!$S$6*14+Ceilings!$S$7*($F97-14)),IF($F97&lt;15,Ceilings!$S$3*$F97,Ceilings!$S$3*14+Ceilings!$S$4*($F97-14))))))</f>
        <v/>
      </c>
      <c r="O97" s="185" t="str">
        <f>IF(OR(ISBLANK(D97),ISBLANK(H97),ISBLANK(K97),ISBLANK(L97)),"",IF(L97="0–9 km",0,IF(I97&lt;15,Ceilings!$S$3*I97,Ceilings!$S$3*14+Ceilings!$S$4*(I97-14))))</f>
        <v/>
      </c>
      <c r="P97" s="183" t="str">
        <f t="shared" si="9"/>
        <v/>
      </c>
      <c r="Q97" s="436"/>
      <c r="R97" s="266" t="str">
        <f>IF(OR(ISBLANK($D97),ISBLANK($K97),ISBLANK(Q97)),"",Ceilings!$V$3*Q97)</f>
        <v/>
      </c>
      <c r="S97" s="72" t="str">
        <f t="shared" si="8"/>
        <v/>
      </c>
    </row>
    <row r="98" spans="1:19" ht="15.75" customHeight="1">
      <c r="A98" s="506"/>
      <c r="B98" s="51" t="str">
        <f>IF(ISBLANK(A98),"",VLOOKUP(A98,Management!$A$11:$C$25,2,0))</f>
        <v/>
      </c>
      <c r="C98" s="433"/>
      <c r="D98" s="421"/>
      <c r="E98" s="433"/>
      <c r="F98" s="434"/>
      <c r="G98" s="95" t="str">
        <f t="shared" si="2"/>
        <v/>
      </c>
      <c r="H98" s="435"/>
      <c r="I98" s="434"/>
      <c r="J98" s="95" t="str">
        <f t="shared" si="3"/>
        <v/>
      </c>
      <c r="K98" s="81"/>
      <c r="L98" s="362"/>
      <c r="M98" s="256" t="str">
        <f t="shared" si="7"/>
        <v/>
      </c>
      <c r="N98" s="184" t="str">
        <f>IF(OR(ISBLANK($D98),ISBLANK($K98),ISBLANK($L98)),"",IF($L98="0–9 km",0,IF(LEFT($D98,4)="Long",VLOOKUP($K98,Subsistence,2,0)*14+VLOOKUP($K98,Subsistence,3,0)*46+VLOOKUP($K98,Subsistence,4,0)*($F98-60),IF(RIGHT($D98,8)="students",IF($F98&lt;15,Ceilings!$S$6*$F98,Ceilings!$S$6*14+Ceilings!$S$7*($F98-14)),IF($F98&lt;15,Ceilings!$S$3*$F98,Ceilings!$S$3*14+Ceilings!$S$4*($F98-14))))))</f>
        <v/>
      </c>
      <c r="O98" s="185" t="str">
        <f>IF(OR(ISBLANK(D98),ISBLANK(H98),ISBLANK(K98),ISBLANK(L98)),"",IF(L98="0–9 km",0,IF(I98&lt;15,Ceilings!$S$3*I98,Ceilings!$S$3*14+Ceilings!$S$4*(I98-14))))</f>
        <v/>
      </c>
      <c r="P98" s="183" t="str">
        <f t="shared" si="9"/>
        <v/>
      </c>
      <c r="Q98" s="436"/>
      <c r="R98" s="266" t="str">
        <f>IF(OR(ISBLANK($D98),ISBLANK($K98),ISBLANK(Q98)),"",Ceilings!$V$3*Q98)</f>
        <v/>
      </c>
      <c r="S98" s="72" t="str">
        <f t="shared" si="8"/>
        <v/>
      </c>
    </row>
    <row r="99" spans="1:19" ht="15.75" customHeight="1">
      <c r="A99" s="506"/>
      <c r="B99" s="51" t="str">
        <f>IF(ISBLANK(A99),"",VLOOKUP(A99,Management!$A$11:$C$25,2,0))</f>
        <v/>
      </c>
      <c r="C99" s="433"/>
      <c r="D99" s="421"/>
      <c r="E99" s="433"/>
      <c r="F99" s="434"/>
      <c r="G99" s="95" t="str">
        <f t="shared" si="2"/>
        <v/>
      </c>
      <c r="H99" s="435"/>
      <c r="I99" s="434"/>
      <c r="J99" s="95" t="str">
        <f t="shared" si="3"/>
        <v/>
      </c>
      <c r="K99" s="81"/>
      <c r="L99" s="362"/>
      <c r="M99" s="256" t="str">
        <f t="shared" si="7"/>
        <v/>
      </c>
      <c r="N99" s="184" t="str">
        <f>IF(OR(ISBLANK($D99),ISBLANK($K99),ISBLANK($L99)),"",IF($L99="0–9 km",0,IF(LEFT($D99,4)="Long",VLOOKUP($K99,Subsistence,2,0)*14+VLOOKUP($K99,Subsistence,3,0)*46+VLOOKUP($K99,Subsistence,4,0)*($F99-60),IF(RIGHT($D99,8)="students",IF($F99&lt;15,Ceilings!$S$6*$F99,Ceilings!$S$6*14+Ceilings!$S$7*($F99-14)),IF($F99&lt;15,Ceilings!$S$3*$F99,Ceilings!$S$3*14+Ceilings!$S$4*($F99-14))))))</f>
        <v/>
      </c>
      <c r="O99" s="185" t="str">
        <f>IF(OR(ISBLANK(D99),ISBLANK(H99),ISBLANK(K99),ISBLANK(L99)),"",IF(L99="0–9 km",0,IF(I99&lt;15,Ceilings!$S$3*I99,Ceilings!$S$3*14+Ceilings!$S$4*(I99-14))))</f>
        <v/>
      </c>
      <c r="P99" s="183" t="str">
        <f t="shared" si="9"/>
        <v/>
      </c>
      <c r="Q99" s="436"/>
      <c r="R99" s="266" t="str">
        <f>IF(OR(ISBLANK($D99),ISBLANK($K99),ISBLANK(Q99)),"",Ceilings!$V$3*Q99)</f>
        <v/>
      </c>
      <c r="S99" s="72" t="str">
        <f t="shared" si="8"/>
        <v/>
      </c>
    </row>
    <row r="100" spans="1:19" ht="15.75" customHeight="1">
      <c r="A100" s="506"/>
      <c r="B100" s="51" t="str">
        <f>IF(ISBLANK(A100),"",VLOOKUP(A100,Management!$A$11:$C$25,2,0))</f>
        <v/>
      </c>
      <c r="C100" s="433"/>
      <c r="D100" s="421"/>
      <c r="E100" s="433"/>
      <c r="F100" s="434"/>
      <c r="G100" s="95" t="str">
        <f t="shared" si="2"/>
        <v/>
      </c>
      <c r="H100" s="435"/>
      <c r="I100" s="434"/>
      <c r="J100" s="95" t="str">
        <f t="shared" si="3"/>
        <v/>
      </c>
      <c r="K100" s="81"/>
      <c r="L100" s="362"/>
      <c r="M100" s="256" t="str">
        <f t="shared" si="7"/>
        <v/>
      </c>
      <c r="N100" s="184" t="str">
        <f>IF(OR(ISBLANK($D100),ISBLANK($K100),ISBLANK($L100)),"",IF($L100="0–9 km",0,IF(LEFT($D100,4)="Long",VLOOKUP($K100,Subsistence,2,0)*14+VLOOKUP($K100,Subsistence,3,0)*46+VLOOKUP($K100,Subsistence,4,0)*($F100-60),IF(RIGHT($D100,8)="students",IF($F100&lt;15,Ceilings!$S$6*$F100,Ceilings!$S$6*14+Ceilings!$S$7*($F100-14)),IF($F100&lt;15,Ceilings!$S$3*$F100,Ceilings!$S$3*14+Ceilings!$S$4*($F100-14))))))</f>
        <v/>
      </c>
      <c r="O100" s="185" t="str">
        <f>IF(OR(ISBLANK(D100),ISBLANK(H100),ISBLANK(K100),ISBLANK(L100)),"",IF(L100="0–9 km",0,IF(I100&lt;15,Ceilings!$S$3*I100,Ceilings!$S$3*14+Ceilings!$S$4*(I100-14))))</f>
        <v/>
      </c>
      <c r="P100" s="183" t="str">
        <f t="shared" si="9"/>
        <v/>
      </c>
      <c r="Q100" s="436"/>
      <c r="R100" s="266" t="str">
        <f>IF(OR(ISBLANK($D100),ISBLANK($K100),ISBLANK(Q100)),"",Ceilings!$V$3*Q100)</f>
        <v/>
      </c>
      <c r="S100" s="72" t="str">
        <f t="shared" si="8"/>
        <v/>
      </c>
    </row>
    <row r="101" spans="1:19" ht="15.75" customHeight="1">
      <c r="A101" s="506"/>
      <c r="B101" s="51" t="str">
        <f>IF(ISBLANK(A101),"",VLOOKUP(A101,Management!$A$11:$C$25,2,0))</f>
        <v/>
      </c>
      <c r="C101" s="433"/>
      <c r="D101" s="421"/>
      <c r="E101" s="433"/>
      <c r="F101" s="434"/>
      <c r="G101" s="95" t="str">
        <f t="shared" si="2"/>
        <v/>
      </c>
      <c r="H101" s="435"/>
      <c r="I101" s="434"/>
      <c r="J101" s="95" t="str">
        <f t="shared" si="3"/>
        <v/>
      </c>
      <c r="K101" s="81"/>
      <c r="L101" s="362"/>
      <c r="M101" s="256" t="str">
        <f t="shared" si="7"/>
        <v/>
      </c>
      <c r="N101" s="184" t="str">
        <f>IF(OR(ISBLANK($D101),ISBLANK($K101),ISBLANK($L101)),"",IF($L101="0–9 km",0,IF(LEFT($D101,4)="Long",VLOOKUP($K101,Subsistence,2,0)*14+VLOOKUP($K101,Subsistence,3,0)*46+VLOOKUP($K101,Subsistence,4,0)*($F101-60),IF(RIGHT($D101,8)="students",IF($F101&lt;15,Ceilings!$S$6*$F101,Ceilings!$S$6*14+Ceilings!$S$7*($F101-14)),IF($F101&lt;15,Ceilings!$S$3*$F101,Ceilings!$S$3*14+Ceilings!$S$4*($F101-14))))))</f>
        <v/>
      </c>
      <c r="O101" s="185" t="str">
        <f>IF(OR(ISBLANK(D101),ISBLANK(H101),ISBLANK(K101),ISBLANK(L101)),"",IF(L101="0–9 km",0,IF(I101&lt;15,Ceilings!$S$3*I101,Ceilings!$S$3*14+Ceilings!$S$4*(I101-14))))</f>
        <v/>
      </c>
      <c r="P101" s="183" t="str">
        <f t="shared" si="9"/>
        <v/>
      </c>
      <c r="Q101" s="436"/>
      <c r="R101" s="266" t="str">
        <f>IF(OR(ISBLANK($D101),ISBLANK($K101),ISBLANK(Q101)),"",Ceilings!$V$3*Q101)</f>
        <v/>
      </c>
      <c r="S101" s="72" t="str">
        <f t="shared" si="8"/>
        <v/>
      </c>
    </row>
    <row r="102" spans="1:19" ht="15.75" customHeight="1">
      <c r="A102" s="506"/>
      <c r="B102" s="51" t="str">
        <f>IF(ISBLANK(A102),"",VLOOKUP(A102,Management!$A$11:$C$25,2,0))</f>
        <v/>
      </c>
      <c r="C102" s="433"/>
      <c r="D102" s="421"/>
      <c r="E102" s="433"/>
      <c r="F102" s="434"/>
      <c r="G102" s="95" t="str">
        <f t="shared" si="2"/>
        <v/>
      </c>
      <c r="H102" s="435"/>
      <c r="I102" s="434"/>
      <c r="J102" s="95" t="str">
        <f t="shared" si="3"/>
        <v/>
      </c>
      <c r="K102" s="81"/>
      <c r="L102" s="362"/>
      <c r="M102" s="256" t="str">
        <f t="shared" si="7"/>
        <v/>
      </c>
      <c r="N102" s="184" t="str">
        <f>IF(OR(ISBLANK($D102),ISBLANK($K102),ISBLANK($L102)),"",IF($L102="0–9 km",0,IF(LEFT($D102,4)="Long",VLOOKUP($K102,Subsistence,2,0)*14+VLOOKUP($K102,Subsistence,3,0)*46+VLOOKUP($K102,Subsistence,4,0)*($F102-60),IF(RIGHT($D102,8)="students",IF($F102&lt;15,Ceilings!$S$6*$F102,Ceilings!$S$6*14+Ceilings!$S$7*($F102-14)),IF($F102&lt;15,Ceilings!$S$3*$F102,Ceilings!$S$3*14+Ceilings!$S$4*($F102-14))))))</f>
        <v/>
      </c>
      <c r="O102" s="185" t="str">
        <f>IF(OR(ISBLANK(D102),ISBLANK(H102),ISBLANK(K102),ISBLANK(L102)),"",IF(L102="0–9 km",0,IF(I102&lt;15,Ceilings!$S$3*I102,Ceilings!$S$3*14+Ceilings!$S$4*(I102-14))))</f>
        <v/>
      </c>
      <c r="P102" s="183" t="str">
        <f t="shared" si="9"/>
        <v/>
      </c>
      <c r="Q102" s="436"/>
      <c r="R102" s="266" t="str">
        <f>IF(OR(ISBLANK($D102),ISBLANK($K102),ISBLANK(Q102)),"",Ceilings!$V$3*Q102)</f>
        <v/>
      </c>
      <c r="S102" s="72" t="str">
        <f t="shared" si="8"/>
        <v/>
      </c>
    </row>
    <row r="103" spans="1:19" ht="15.75" customHeight="1">
      <c r="A103" s="506"/>
      <c r="B103" s="51" t="str">
        <f>IF(ISBLANK(A103),"",VLOOKUP(A103,Management!$A$11:$C$25,2,0))</f>
        <v/>
      </c>
      <c r="C103" s="433"/>
      <c r="D103" s="421"/>
      <c r="E103" s="433"/>
      <c r="F103" s="434"/>
      <c r="G103" s="95" t="str">
        <f t="shared" si="2"/>
        <v/>
      </c>
      <c r="H103" s="435"/>
      <c r="I103" s="434"/>
      <c r="J103" s="95" t="str">
        <f t="shared" si="3"/>
        <v/>
      </c>
      <c r="K103" s="81"/>
      <c r="L103" s="362"/>
      <c r="M103" s="256" t="str">
        <f>IF(ISBLANK(L103),"",(E103+H103)*VLOOKUP(L103,TravelGrant,2,0))</f>
        <v/>
      </c>
      <c r="N103" s="184" t="str">
        <f>IF(OR(ISBLANK($D103),ISBLANK($K103),ISBLANK($L103)),"",IF($L103="0–9 km",0,IF(LEFT($D103,4)="Long",VLOOKUP($K103,Subsistence,2,0)*14+VLOOKUP($K103,Subsistence,3,0)*46+VLOOKUP($K103,Subsistence,4,0)*($F103-60),IF(RIGHT($D103,8)="students",IF($F103&lt;15,Ceilings!$S$6*$F103,Ceilings!$S$6*14+Ceilings!$S$7*($F103-14)),IF($F103&lt;15,Ceilings!$S$3*$F103,Ceilings!$S$3*14+Ceilings!$S$4*($F103-14))))))</f>
        <v/>
      </c>
      <c r="O103" s="185" t="str">
        <f>IF(OR(ISBLANK(D103),ISBLANK(H103),ISBLANK(K103),ISBLANK(L103)),"",IF(L103="0–9 km",0,IF(I103&lt;15,Ceilings!$S$3*I103,Ceilings!$S$3*14+Ceilings!$S$4*(I103-14))))</f>
        <v/>
      </c>
      <c r="P103" s="183" t="str">
        <f t="shared" si="9"/>
        <v/>
      </c>
      <c r="Q103" s="436"/>
      <c r="R103" s="266" t="str">
        <f>IF(OR(ISBLANK($D103),ISBLANK($K103),ISBLANK(Q103)),"",Ceilings!$V$3*Q103)</f>
        <v/>
      </c>
      <c r="S103" s="72" t="str">
        <f t="shared" si="8"/>
        <v/>
      </c>
    </row>
    <row r="104" spans="1:19" ht="15.75" customHeight="1">
      <c r="A104" s="506"/>
      <c r="B104" s="51" t="str">
        <f>IF(ISBLANK(A104),"",VLOOKUP(A104,Management!$A$11:$C$25,2,0))</f>
        <v/>
      </c>
      <c r="C104" s="433"/>
      <c r="D104" s="421"/>
      <c r="E104" s="433"/>
      <c r="F104" s="434"/>
      <c r="G104" s="95" t="str">
        <f t="shared" si="2"/>
        <v/>
      </c>
      <c r="H104" s="435"/>
      <c r="I104" s="434"/>
      <c r="J104" s="95" t="str">
        <f t="shared" si="3"/>
        <v/>
      </c>
      <c r="K104" s="81"/>
      <c r="L104" s="362"/>
      <c r="M104" s="256" t="str">
        <f>IF(ISBLANK(L104),"",(E104+H104)*VLOOKUP(L104,TravelGrant,2,0))</f>
        <v/>
      </c>
      <c r="N104" s="184" t="str">
        <f>IF(OR(ISBLANK($D104),ISBLANK($K104),ISBLANK($L104)),"",IF($L104="0–9 km",0,IF(LEFT($D104,4)="Long",VLOOKUP($K104,Subsistence,2,0)*14+VLOOKUP($K104,Subsistence,3,0)*46+VLOOKUP($K104,Subsistence,4,0)*($F104-60),IF(RIGHT($D104,8)="students",IF($F104&lt;15,Ceilings!$S$6*$F104,Ceilings!$S$6*14+Ceilings!$S$7*($F104-14)),IF($F104&lt;15,Ceilings!$S$3*$F104,Ceilings!$S$3*14+Ceilings!$S$4*($F104-14))))))</f>
        <v/>
      </c>
      <c r="O104" s="185" t="str">
        <f>IF(OR(ISBLANK(D104),ISBLANK(H104),ISBLANK(K104),ISBLANK(L104)),"",IF(L104="0–9 km",0,IF(I104&lt;15,Ceilings!$S$3*I104,Ceilings!$S$3*14+Ceilings!$S$4*(I104-14))))</f>
        <v/>
      </c>
      <c r="P104" s="183" t="str">
        <f t="shared" si="9"/>
        <v/>
      </c>
      <c r="Q104" s="436"/>
      <c r="R104" s="266" t="str">
        <f>IF(OR(ISBLANK($D104),ISBLANK($K104),ISBLANK(Q104)),"",Ceilings!$V$3*Q104)</f>
        <v/>
      </c>
      <c r="S104" s="72" t="str">
        <f t="shared" si="8"/>
        <v/>
      </c>
    </row>
    <row r="105" spans="1:19" ht="15.75" customHeight="1">
      <c r="A105" s="506"/>
      <c r="B105" s="51" t="str">
        <f>IF(ISBLANK(A105),"",VLOOKUP(A105,Management!$A$11:$C$25,2,0))</f>
        <v/>
      </c>
      <c r="C105" s="433"/>
      <c r="D105" s="421"/>
      <c r="E105" s="433"/>
      <c r="F105" s="434"/>
      <c r="G105" s="95" t="str">
        <f t="shared" si="2"/>
        <v/>
      </c>
      <c r="H105" s="435"/>
      <c r="I105" s="434"/>
      <c r="J105" s="95" t="str">
        <f t="shared" si="3"/>
        <v/>
      </c>
      <c r="K105" s="81"/>
      <c r="L105" s="362"/>
      <c r="M105" s="256" t="str">
        <f>IF(ISBLANK(L105),"",(E105+H105)*VLOOKUP(L105,TravelGrant,2,0))</f>
        <v/>
      </c>
      <c r="N105" s="184" t="str">
        <f>IF(OR(ISBLANK($D105),ISBLANK($K105),ISBLANK($L105)),"",IF($L105="0–9 km",0,IF(LEFT($D105,4)="Long",VLOOKUP($K105,Subsistence,2,0)*14+VLOOKUP($K105,Subsistence,3,0)*46+VLOOKUP($K105,Subsistence,4,0)*($F105-60),IF(RIGHT($D105,8)="students",IF($F105&lt;15,Ceilings!$S$6*$F105,Ceilings!$S$6*14+Ceilings!$S$7*($F105-14)),IF($F105&lt;15,Ceilings!$S$3*$F105,Ceilings!$S$3*14+Ceilings!$S$4*($F105-14))))))</f>
        <v/>
      </c>
      <c r="O105" s="185" t="str">
        <f>IF(OR(ISBLANK(D105),ISBLANK(H105),ISBLANK(K105),ISBLANK(L105)),"",IF(L105="0–9 km",0,IF(I105&lt;15,Ceilings!$S$3*I105,Ceilings!$S$3*14+Ceilings!$S$4*(I105-14))))</f>
        <v/>
      </c>
      <c r="P105" s="183" t="str">
        <f>IF(N105="","",$E105*N105+IF(O105="",0,$H105*O105))</f>
        <v/>
      </c>
      <c r="Q105" s="436"/>
      <c r="R105" s="266" t="str">
        <f>IF(OR(ISBLANK($D105),ISBLANK($K105),ISBLANK(Q105)),"",Ceilings!$V$3*Q105)</f>
        <v/>
      </c>
      <c r="S105" s="72" t="str">
        <f t="shared" si="8"/>
        <v/>
      </c>
    </row>
    <row r="106" spans="1:19" ht="15.75" customHeight="1" thickBot="1">
      <c r="A106" s="507"/>
      <c r="B106" s="52" t="str">
        <f>IF(ISBLANK(A106),"",VLOOKUP(A106,Management!$A$11:$C$25,2,0))</f>
        <v/>
      </c>
      <c r="C106" s="442"/>
      <c r="D106" s="422"/>
      <c r="E106" s="442"/>
      <c r="F106" s="443"/>
      <c r="G106" s="444" t="str">
        <f t="shared" si="2"/>
        <v/>
      </c>
      <c r="H106" s="445"/>
      <c r="I106" s="443"/>
      <c r="J106" s="444" t="str">
        <f t="shared" si="3"/>
        <v/>
      </c>
      <c r="K106" s="446"/>
      <c r="L106" s="447"/>
      <c r="M106" s="448" t="str">
        <f>IF(ISBLANK(L106),"",(E106+H106)*VLOOKUP(L106,TravelGrant,2,0))</f>
        <v/>
      </c>
      <c r="N106" s="449" t="str">
        <f>IF(OR(ISBLANK($D106),ISBLANK($K106),ISBLANK($L106)),"",IF($L106="0–9 km",0,IF(LEFT($D106,4)="Long",VLOOKUP($K106,Subsistence,2,0)*14+VLOOKUP($K106,Subsistence,3,0)*46+VLOOKUP($K106,Subsistence,4,0)*($F106-60),IF(RIGHT($D106,8)="students",IF($F106&lt;15,Ceilings!$S$6*$F106,Ceilings!$S$6*14+Ceilings!$S$7*($F106-14)),IF($F106&lt;15,Ceilings!$S$3*$F106,Ceilings!$S$3*14+Ceilings!$S$4*($F106-14))))))</f>
        <v/>
      </c>
      <c r="O106" s="450" t="str">
        <f>IF(OR(ISBLANK(D106),ISBLANK(H106),ISBLANK(K106),ISBLANK(L106)),"",IF(L106="0–9 km",0,IF(I106&lt;15,Ceilings!$S$3*I106,Ceilings!$S$3*14+Ceilings!$S$4*(I106-14))))</f>
        <v/>
      </c>
      <c r="P106" s="451" t="str">
        <f>IF(N106="","",$E106*N106+IF(O106="",0,$H106*O106))</f>
        <v/>
      </c>
      <c r="Q106" s="452"/>
      <c r="R106" s="267" t="str">
        <f>IF(OR(ISBLANK($D106),ISBLANK($K106),ISBLANK(Q106)),"",Ceilings!$V$3*Q106)</f>
        <v/>
      </c>
      <c r="S106" s="76" t="str">
        <f t="shared" si="8"/>
        <v/>
      </c>
    </row>
    <row r="107" spans="1:19">
      <c r="E107" s="41">
        <f>SUM(E7:E106)</f>
        <v>0</v>
      </c>
      <c r="H107" s="41">
        <f>SUM(H7:H106)</f>
        <v>0</v>
      </c>
      <c r="Q107" s="41"/>
    </row>
  </sheetData>
  <sheetProtection password="B516" sheet="1" sort="0" autoFilter="0"/>
  <mergeCells count="17">
    <mergeCell ref="J1:R1"/>
    <mergeCell ref="B2:C2"/>
    <mergeCell ref="J2:R2"/>
    <mergeCell ref="S4:S5"/>
    <mergeCell ref="F4:G5"/>
    <mergeCell ref="H4:H5"/>
    <mergeCell ref="I4:J5"/>
    <mergeCell ref="K4:K5"/>
    <mergeCell ref="L4:L5"/>
    <mergeCell ref="M4:M5"/>
    <mergeCell ref="N4:P4"/>
    <mergeCell ref="Q4:R4"/>
    <mergeCell ref="A4:A5"/>
    <mergeCell ref="B4:B5"/>
    <mergeCell ref="C4:C5"/>
    <mergeCell ref="D4:D5"/>
    <mergeCell ref="E4:E5"/>
  </mergeCells>
  <phoneticPr fontId="7" type="noConversion"/>
  <conditionalFormatting sqref="Q7:Q106">
    <cfRule type="expression" dxfId="20" priority="7" stopIfTrue="1">
      <formula>LEFT($D7,4)="Long"</formula>
    </cfRule>
  </conditionalFormatting>
  <conditionalFormatting sqref="K7:K106">
    <cfRule type="expression" priority="1" stopIfTrue="1">
      <formula>ISBLANK(K7)</formula>
    </cfRule>
    <cfRule type="expression" priority="2" stopIfTrue="1">
      <formula>LEFT($D7,16)="Short term joint"</formula>
    </cfRule>
    <cfRule type="cellIs" dxfId="19" priority="3" stopIfTrue="1" operator="equal">
      <formula>$B7</formula>
    </cfRule>
  </conditionalFormatting>
  <dataValidations count="9">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 allowBlank="1" error="Long-term teaching or training assignments &lt; 367 days, otherwise between 5 and 60 days." sqref="J7:J106 G7:G106"/>
    <dataValidation type="list" allowBlank="1" showInputMessage="1" showErrorMessage="1" sqref="L7:L106">
      <formula1>Distances</formula1>
    </dataValidation>
    <dataValidation type="list" allowBlank="1" showInputMessage="1" showErrorMessage="1" sqref="D7:D106">
      <formula1>IF(ISNA(MATCH(B7,PCountries,0)),Activity_t,H_Activity_t)</formula1>
    </dataValidation>
    <dataValidation type="list" allowBlank="1" showInputMessage="1" showErrorMessage="1" sqref="A7:A106">
      <formula1>Partners</formula1>
    </dataValidation>
    <dataValidation type="list" allowBlank="1" showInputMessage="1" showErrorMessage="1" sqref="K7:K106">
      <formula1>CountriesofPs</formula1>
    </dataValidation>
    <dataValidation type="custom" allowBlank="1" showInputMessage="1" showErrorMessage="1" error="It is not possible greater than for participants." sqref="I7:I106">
      <formula1>I7&lt;=F7</formula1>
    </dataValidation>
    <dataValidation type="custom" showInputMessage="1" showErrorMessage="1" sqref="H7:H106">
      <formula1>FALSE()</formula1>
    </dataValidation>
    <dataValidation type="custom" showInputMessage="1" showErrorMessage="1" sqref="Q7:Q106">
      <formula1>LEFT($D7,4)="Long"</formula1>
    </dataValidation>
  </dataValidations>
  <printOptions horizontalCentered="1"/>
  <pageMargins left="0.7" right="0.7" top="0.75" bottom="0.75" header="0.3" footer="0.3"/>
  <pageSetup paperSize="9" scale="53" fitToHeight="4" orientation="landscape" r:id="rId1"/>
  <headerFooter scaleWithDoc="0">
    <oddHeader>&amp;C&amp;11 2020 - C2  E+ KA226 - HED&amp;RVersion: 2020.09.08. - TKA</oddHeader>
    <oddFooter>&amp;C&amp;"Arial,Félkövér"&amp;A</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0000"/>
    <pageSetUpPr fitToPage="1"/>
  </sheetPr>
  <dimension ref="A1:IX107"/>
  <sheetViews>
    <sheetView zoomScale="85" zoomScaleNormal="85" zoomScalePageLayoutView="52" workbookViewId="0">
      <selection activeCell="P33" sqref="P33"/>
    </sheetView>
  </sheetViews>
  <sheetFormatPr defaultColWidth="8.85546875" defaultRowHeight="12.75"/>
  <cols>
    <col min="1" max="1" width="37.42578125" style="53" customWidth="1"/>
    <col min="2" max="2" width="23" style="54" customWidth="1"/>
    <col min="3" max="3" width="6.85546875" style="41" bestFit="1" customWidth="1"/>
    <col min="4" max="4" width="36" style="55" customWidth="1"/>
    <col min="5" max="5" width="10.140625" style="41" customWidth="1"/>
    <col min="6" max="6" width="5.28515625" style="41" customWidth="1"/>
    <col min="7" max="7" width="5.140625" style="41" customWidth="1"/>
    <col min="8" max="8" width="10.28515625" style="41" customWidth="1"/>
    <col min="9" max="9" width="5.28515625" style="41" customWidth="1"/>
    <col min="10" max="10" width="5" style="41" bestFit="1" customWidth="1"/>
    <col min="11" max="11" width="8.42578125" style="49" customWidth="1"/>
    <col min="12" max="12" width="17.28515625" style="56" bestFit="1" customWidth="1"/>
    <col min="13" max="13" width="10" style="42" bestFit="1" customWidth="1"/>
    <col min="14" max="14" width="10.42578125" style="42" customWidth="1"/>
    <col min="15" max="15" width="10.7109375" style="42" customWidth="1"/>
    <col min="16" max="17" width="10.28515625" style="42" customWidth="1"/>
    <col min="18" max="18" width="9.140625" style="42" customWidth="1"/>
    <col min="19" max="19" width="9.85546875" style="42" customWidth="1"/>
    <col min="20" max="16384" width="8.85546875" style="49"/>
  </cols>
  <sheetData>
    <row r="1" spans="1:258" s="367" customFormat="1" ht="15.75">
      <c r="A1" s="142" t="s">
        <v>389</v>
      </c>
      <c r="B1" s="143"/>
      <c r="C1" s="365"/>
      <c r="D1" s="366"/>
      <c r="E1" s="611" t="s">
        <v>468</v>
      </c>
      <c r="F1" s="612"/>
      <c r="G1" s="612"/>
      <c r="H1" s="613"/>
      <c r="J1" s="617" t="s">
        <v>398</v>
      </c>
      <c r="K1" s="618"/>
      <c r="L1" s="618"/>
      <c r="M1" s="618"/>
      <c r="N1" s="618"/>
      <c r="O1" s="618"/>
      <c r="P1" s="618"/>
      <c r="Q1" s="618"/>
      <c r="R1" s="61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610" t="s">
        <v>449</v>
      </c>
      <c r="C2" s="610"/>
      <c r="E2" s="614"/>
      <c r="F2" s="615"/>
      <c r="G2" s="615"/>
      <c r="H2" s="616"/>
      <c r="J2" s="620"/>
      <c r="K2" s="621"/>
      <c r="L2" s="621"/>
      <c r="M2" s="621"/>
      <c r="N2" s="621"/>
      <c r="O2" s="621"/>
      <c r="P2" s="621"/>
      <c r="Q2" s="621"/>
      <c r="R2" s="622"/>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00" t="s">
        <v>143</v>
      </c>
      <c r="E4" s="571" t="s">
        <v>381</v>
      </c>
      <c r="F4" s="606" t="s">
        <v>402</v>
      </c>
      <c r="G4" s="607"/>
      <c r="H4" s="571" t="s">
        <v>380</v>
      </c>
      <c r="I4" s="602" t="s">
        <v>403</v>
      </c>
      <c r="J4" s="603"/>
      <c r="K4" s="594" t="s">
        <v>448</v>
      </c>
      <c r="L4" s="592" t="s">
        <v>120</v>
      </c>
      <c r="M4" s="590" t="s">
        <v>145</v>
      </c>
      <c r="N4" s="598" t="s">
        <v>328</v>
      </c>
      <c r="O4" s="599"/>
      <c r="P4" s="590"/>
      <c r="Q4" s="596" t="s">
        <v>326</v>
      </c>
      <c r="R4" s="597"/>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26.25" thickBot="1">
      <c r="A5" s="566"/>
      <c r="B5" s="568"/>
      <c r="C5" s="572"/>
      <c r="D5" s="601"/>
      <c r="E5" s="572"/>
      <c r="F5" s="608"/>
      <c r="G5" s="609"/>
      <c r="H5" s="572"/>
      <c r="I5" s="604"/>
      <c r="J5" s="605"/>
      <c r="K5" s="595"/>
      <c r="L5" s="593"/>
      <c r="M5" s="591"/>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420"/>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t="str">
        <f>IF(ISBLANK(A7),"",VLOOKUP(A7,Management!$A$11:$C$25,2,0))</f>
        <v/>
      </c>
      <c r="C7" s="453"/>
      <c r="D7" s="57"/>
      <c r="E7" s="454"/>
      <c r="F7" s="430"/>
      <c r="G7" s="94" t="str">
        <f>IF(ISBLANK($D7),"","days")</f>
        <v/>
      </c>
      <c r="H7" s="431"/>
      <c r="I7" s="430"/>
      <c r="J7" s="94" t="str">
        <f>IF(ISBLANK($D7),"","days")</f>
        <v/>
      </c>
      <c r="K7" s="80"/>
      <c r="L7" s="361"/>
      <c r="M7" s="252"/>
      <c r="N7" s="181" t="str">
        <f>IF(OR(ISBLANK($D7),ISBLANK($K7),ISBLANK($L7)),"",IF($L7="0–9 km",0,IF(LEFT($D7,18)="Long-term teaching",VLOOKUP($K7,Subsistence,2,0)*14+VLOOKUP($K7,Subsistence,3,0)*46+VLOOKUP($K7,Subsistence,4,0)*($F7-60),IF(LEFT($D7,18)="Short-term joint s",IF($F7&lt;15,Ceilings!$S$3*$F7,Ceilings!$S$3*14+Ceilings!$S$4*($F7-14)),IF($F7&lt;15,Ceilings!$S$6*$F7,Ceilings!$S$6*14+Ceilings!$S$7*($F7-14))))))</f>
        <v/>
      </c>
      <c r="O7" s="182" t="str">
        <f>IF(OR(ISBLANK(D7),ISBLANK(H7),ISBLANK(K7),ISBLANK(L7)),"",IF(L7="0–9 km",0,IF(I7&lt;15,Ceilings!$S$3*I7,Ceilings!$S$3*14+Ceilings!$S$4*(I7-14))))</f>
        <v/>
      </c>
      <c r="P7" s="180" t="str">
        <f t="shared" ref="P7:P36" si="0">IF(N7="","",$E7*N7+IF(O7="",0,$H7*O7))</f>
        <v/>
      </c>
      <c r="Q7" s="432"/>
      <c r="R7" s="265" t="str">
        <f>IF(OR(ISBLANK($D7),ISBLANK($K7),ISBLANK(Q7)),"",Ceilings!$V$3*Q7)</f>
        <v/>
      </c>
      <c r="S7" s="174" t="str">
        <f t="shared" ref="S7:S38" si="1">IF(ISBLANK($A7),"",IF(OR(ISBLANK($C7),ISBLANK($D7),ISBLANK($E7),ISBLANK($K7)),"Missing data",SUM($M7,$P7,$R7)))</f>
        <v/>
      </c>
    </row>
    <row r="8" spans="1:258" ht="15.75" customHeight="1">
      <c r="A8" s="506"/>
      <c r="B8" s="51" t="str">
        <f>IF(ISBLANK(A8),"",VLOOKUP(A8,Management!$A$11:$C$25,2,0))</f>
        <v/>
      </c>
      <c r="C8" s="455"/>
      <c r="D8" s="421"/>
      <c r="E8" s="456"/>
      <c r="F8" s="434"/>
      <c r="G8" s="95" t="str">
        <f t="shared" ref="G8:G106" si="2">IF(ISBLANK($D8),"","days")</f>
        <v/>
      </c>
      <c r="H8" s="435"/>
      <c r="I8" s="434"/>
      <c r="J8" s="95" t="str">
        <f t="shared" ref="J8:J106" si="3">IF(ISBLANK($D8),"","days")</f>
        <v/>
      </c>
      <c r="K8" s="81"/>
      <c r="L8" s="362"/>
      <c r="M8" s="256"/>
      <c r="N8" s="184" t="str">
        <f>IF(OR(ISBLANK($D8),ISBLANK($K8),ISBLANK($L8)),"",IF($L8="0–9 km",0,IF(LEFT($D8,18)="Long-term teaching",VLOOKUP($K8,Subsistence,2,0)*14+VLOOKUP($K8,Subsistence,3,0)*46+VLOOKUP($K8,Subsistence,4,0)*($F8-60),IF(LEFT($D8,18)="Short-term joint s",IF($F8&lt;15,Ceilings!$S$3*$F8,Ceilings!$S$3*14+Ceilings!$S$4*($F8-14)),IF($F8&lt;15,Ceilings!$S$6*$F8,Ceilings!$S$6*14+Ceilings!$S$7*($F8-14))))))</f>
        <v/>
      </c>
      <c r="O8" s="185" t="str">
        <f>IF(OR(ISBLANK(D8),ISBLANK(H8),ISBLANK(K8),ISBLANK(L8)),"",IF(L8="0–9 km",0,IF(I8&lt;15,Ceilings!$S$3*I8,Ceilings!$S$3*14+Ceilings!$S$4*(I8-14))))</f>
        <v/>
      </c>
      <c r="P8" s="183" t="str">
        <f t="shared" si="0"/>
        <v/>
      </c>
      <c r="Q8" s="436"/>
      <c r="R8" s="266" t="str">
        <f>IF(OR(ISBLANK($D8),ISBLANK($K8),ISBLANK(Q8)),"",Ceilings!$V$3*Q8)</f>
        <v/>
      </c>
      <c r="S8" s="72" t="str">
        <f t="shared" si="1"/>
        <v/>
      </c>
    </row>
    <row r="9" spans="1:258" ht="15.75" customHeight="1">
      <c r="A9" s="506"/>
      <c r="B9" s="51" t="str">
        <f>IF(ISBLANK(A9),"",VLOOKUP(A9,Management!$A$11:$C$25,2,0))</f>
        <v/>
      </c>
      <c r="C9" s="455"/>
      <c r="D9" s="421"/>
      <c r="E9" s="456"/>
      <c r="F9" s="434"/>
      <c r="G9" s="95" t="str">
        <f t="shared" si="2"/>
        <v/>
      </c>
      <c r="H9" s="435"/>
      <c r="I9" s="434"/>
      <c r="J9" s="95" t="str">
        <f t="shared" si="3"/>
        <v/>
      </c>
      <c r="K9" s="81"/>
      <c r="L9" s="362"/>
      <c r="M9" s="256" t="str">
        <f t="shared" ref="M9:M38" si="4">IF(ISBLANK(L9),"",(E9+H9)*VLOOKUP(L9,TravelGrant,2,0))</f>
        <v/>
      </c>
      <c r="N9" s="184" t="str">
        <f>IF(OR(ISBLANK($D9),ISBLANK($K9),ISBLANK($L9)),"",IF($L9="0–9 km",0,IF(LEFT($D9,18)="Long-term teaching",VLOOKUP($K9,Subsistence,2,0)*14+VLOOKUP($K9,Subsistence,3,0)*46+VLOOKUP($K9,Subsistence,4,0)*($F9-60),IF(LEFT($D9,18)="Short-term joint s",IF($F9&lt;15,Ceilings!$S$3*$F9,Ceilings!$S$3*14+Ceilings!$S$4*($F9-14)),IF($F9&lt;15,Ceilings!$S$6*$F9,Ceilings!$S$6*14+Ceilings!$S$7*($F9-14))))))</f>
        <v/>
      </c>
      <c r="O9" s="185" t="str">
        <f>IF(OR(ISBLANK(D9),ISBLANK(H9),ISBLANK(K9),ISBLANK(L9)),"",IF(L9="0–9 km",0,IF(I9&lt;15,Ceilings!$S$3*I9,Ceilings!$S$3*14+Ceilings!$S$4*(I9-14))))</f>
        <v/>
      </c>
      <c r="P9" s="183" t="str">
        <f t="shared" si="0"/>
        <v/>
      </c>
      <c r="Q9" s="436"/>
      <c r="R9" s="266" t="str">
        <f>IF(OR(ISBLANK($D9),ISBLANK($K9),ISBLANK(Q9)),"",Ceilings!$V$3*Q9)</f>
        <v/>
      </c>
      <c r="S9" s="72" t="str">
        <f t="shared" si="1"/>
        <v/>
      </c>
    </row>
    <row r="10" spans="1:258" ht="15.75" customHeight="1">
      <c r="A10" s="506"/>
      <c r="B10" s="51" t="str">
        <f>IF(ISBLANK(A10),"",VLOOKUP(A10,Management!$A$11:$C$25,2,0))</f>
        <v/>
      </c>
      <c r="C10" s="455"/>
      <c r="D10" s="421"/>
      <c r="E10" s="456"/>
      <c r="F10" s="434"/>
      <c r="G10" s="95" t="str">
        <f t="shared" si="2"/>
        <v/>
      </c>
      <c r="H10" s="435"/>
      <c r="I10" s="434"/>
      <c r="J10" s="95" t="str">
        <f t="shared" si="3"/>
        <v/>
      </c>
      <c r="K10" s="81"/>
      <c r="L10" s="362"/>
      <c r="M10" s="256" t="str">
        <f t="shared" si="4"/>
        <v/>
      </c>
      <c r="N10" s="184" t="str">
        <f>IF(OR(ISBLANK($D10),ISBLANK($K10),ISBLANK($L10)),"",IF($L10="0–9 km",0,IF(LEFT($D10,18)="Long-term teaching",VLOOKUP($K10,Subsistence,2,0)*14+VLOOKUP($K10,Subsistence,3,0)*46+VLOOKUP($K10,Subsistence,4,0)*($F10-60),IF(LEFT($D10,18)="Short-term joint s",IF($F10&lt;15,Ceilings!$S$3*$F10,Ceilings!$S$3*14+Ceilings!$S$4*($F10-14)),IF($F10&lt;15,Ceilings!$S$6*$F10,Ceilings!$S$6*14+Ceilings!$S$7*($F10-14))))))</f>
        <v/>
      </c>
      <c r="O10" s="185" t="str">
        <f>IF(OR(ISBLANK(D10),ISBLANK(H10),ISBLANK(K10),ISBLANK(L10)),"",IF(L10="0–9 km",0,IF(I10&lt;15,Ceilings!$S$3*I10,Ceilings!$S$3*14+Ceilings!$S$4*(I10-14))))</f>
        <v/>
      </c>
      <c r="P10" s="183" t="str">
        <f t="shared" si="0"/>
        <v/>
      </c>
      <c r="Q10" s="436"/>
      <c r="R10" s="266" t="str">
        <f>IF(OR(ISBLANK($D10),ISBLANK($K10),ISBLANK(Q10)),"",Ceilings!$V$3*Q10)</f>
        <v/>
      </c>
      <c r="S10" s="72" t="str">
        <f t="shared" si="1"/>
        <v/>
      </c>
    </row>
    <row r="11" spans="1:258" ht="15.75" customHeight="1">
      <c r="A11" s="506"/>
      <c r="B11" s="51" t="str">
        <f>IF(ISBLANK(A11),"",VLOOKUP(A11,Management!$A$11:$C$25,2,0))</f>
        <v/>
      </c>
      <c r="C11" s="455"/>
      <c r="D11" s="421"/>
      <c r="E11" s="456"/>
      <c r="F11" s="434"/>
      <c r="G11" s="95" t="str">
        <f t="shared" si="2"/>
        <v/>
      </c>
      <c r="H11" s="435"/>
      <c r="I11" s="434"/>
      <c r="J11" s="95" t="str">
        <f t="shared" si="3"/>
        <v/>
      </c>
      <c r="K11" s="81"/>
      <c r="L11" s="362"/>
      <c r="M11" s="256" t="str">
        <f t="shared" si="4"/>
        <v/>
      </c>
      <c r="N11" s="184" t="str">
        <f>IF(OR(ISBLANK($D11),ISBLANK($K11),ISBLANK($L11)),"",IF($L11="0–9 km",0,IF(LEFT($D11,18)="Long-term teaching",VLOOKUP($K11,Subsistence,2,0)*14+VLOOKUP($K11,Subsistence,3,0)*46+VLOOKUP($K11,Subsistence,4,0)*($F11-60),IF(LEFT($D11,18)="Short-term joint s",IF($F11&lt;15,Ceilings!$S$3*$F11,Ceilings!$S$3*14+Ceilings!$S$4*($F11-14)),IF($F11&lt;15,Ceilings!$S$6*$F11,Ceilings!$S$6*14+Ceilings!$S$7*($F11-14))))))</f>
        <v/>
      </c>
      <c r="O11" s="185" t="str">
        <f>IF(OR(ISBLANK(D11),ISBLANK(H11),ISBLANK(K11),ISBLANK(L11)),"",IF(L11="0–9 km",0,IF(I11&lt;15,Ceilings!$S$3*I11,Ceilings!$S$3*14+Ceilings!$S$4*(I11-14))))</f>
        <v/>
      </c>
      <c r="P11" s="183" t="str">
        <f t="shared" si="0"/>
        <v/>
      </c>
      <c r="Q11" s="436"/>
      <c r="R11" s="266" t="str">
        <f>IF(OR(ISBLANK($D11),ISBLANK($K11),ISBLANK(Q11)),"",Ceilings!$V$3*Q11)</f>
        <v/>
      </c>
      <c r="S11" s="72" t="str">
        <f t="shared" si="1"/>
        <v/>
      </c>
    </row>
    <row r="12" spans="1:258" ht="15.75" customHeight="1">
      <c r="A12" s="506"/>
      <c r="B12" s="51" t="str">
        <f>IF(ISBLANK(A12),"",VLOOKUP(A12,Management!$A$11:$C$25,2,0))</f>
        <v/>
      </c>
      <c r="C12" s="455"/>
      <c r="D12" s="421"/>
      <c r="E12" s="456"/>
      <c r="F12" s="434"/>
      <c r="G12" s="95" t="str">
        <f t="shared" si="2"/>
        <v/>
      </c>
      <c r="H12" s="435"/>
      <c r="I12" s="434"/>
      <c r="J12" s="95" t="str">
        <f t="shared" si="3"/>
        <v/>
      </c>
      <c r="K12" s="81"/>
      <c r="L12" s="362"/>
      <c r="M12" s="256" t="str">
        <f t="shared" si="4"/>
        <v/>
      </c>
      <c r="N12" s="184" t="str">
        <f>IF(OR(ISBLANK($D12),ISBLANK($K12),ISBLANK($L12)),"",IF($L12="0–9 km",0,IF(LEFT($D12,18)="Long-term teaching",VLOOKUP($K12,Subsistence,2,0)*14+VLOOKUP($K12,Subsistence,3,0)*46+VLOOKUP($K12,Subsistence,4,0)*($F12-60),IF(LEFT($D12,18)="Short-term joint s",IF($F12&lt;15,Ceilings!$S$3*$F12,Ceilings!$S$3*14+Ceilings!$S$4*($F12-14)),IF($F12&lt;15,Ceilings!$S$6*$F12,Ceilings!$S$6*14+Ceilings!$S$7*($F12-14))))))</f>
        <v/>
      </c>
      <c r="O12" s="185" t="str">
        <f>IF(OR(ISBLANK(D12),ISBLANK(H12),ISBLANK(K12),ISBLANK(L12)),"",IF(L12="0–9 km",0,IF(I12&lt;15,Ceilings!$S$3*I12,Ceilings!$S$3*14+Ceilings!$S$4*(I12-14))))</f>
        <v/>
      </c>
      <c r="P12" s="183" t="str">
        <f t="shared" si="0"/>
        <v/>
      </c>
      <c r="Q12" s="436"/>
      <c r="R12" s="266" t="str">
        <f>IF(OR(ISBLANK($D12),ISBLANK($K12),ISBLANK(Q12)),"",Ceilings!$V$3*Q12)</f>
        <v/>
      </c>
      <c r="S12" s="72" t="str">
        <f t="shared" si="1"/>
        <v/>
      </c>
    </row>
    <row r="13" spans="1:258" ht="15.75" customHeight="1">
      <c r="A13" s="506"/>
      <c r="B13" s="51" t="str">
        <f>IF(ISBLANK(A13),"",VLOOKUP(A13,Management!$A$11:$C$25,2,0))</f>
        <v/>
      </c>
      <c r="C13" s="455"/>
      <c r="D13" s="421"/>
      <c r="E13" s="456"/>
      <c r="F13" s="434"/>
      <c r="G13" s="95" t="str">
        <f t="shared" si="2"/>
        <v/>
      </c>
      <c r="H13" s="435"/>
      <c r="I13" s="434"/>
      <c r="J13" s="95" t="str">
        <f t="shared" si="3"/>
        <v/>
      </c>
      <c r="K13" s="81"/>
      <c r="L13" s="362"/>
      <c r="M13" s="256" t="str">
        <f t="shared" si="4"/>
        <v/>
      </c>
      <c r="N13" s="184" t="str">
        <f>IF(OR(ISBLANK($D13),ISBLANK($K13),ISBLANK($L13)),"",IF($L13="0–9 km",0,IF(LEFT($D13,18)="Long-term teaching",VLOOKUP($K13,Subsistence,2,0)*14+VLOOKUP($K13,Subsistence,3,0)*46+VLOOKUP($K13,Subsistence,4,0)*($F13-60),IF(LEFT($D13,18)="Short-term joint s",IF($F13&lt;15,Ceilings!$S$3*$F13,Ceilings!$S$3*14+Ceilings!$S$4*($F13-14)),IF($F13&lt;15,Ceilings!$S$6*$F13,Ceilings!$S$6*14+Ceilings!$S$7*($F13-14))))))</f>
        <v/>
      </c>
      <c r="O13" s="185" t="str">
        <f>IF(OR(ISBLANK(D13),ISBLANK(H13),ISBLANK(K13),ISBLANK(L13)),"",IF(L13="0–9 km",0,IF(I13&lt;15,Ceilings!$S$3*I13,Ceilings!$S$3*14+Ceilings!$S$4*(I13-14))))</f>
        <v/>
      </c>
      <c r="P13" s="183" t="str">
        <f t="shared" si="0"/>
        <v/>
      </c>
      <c r="Q13" s="436"/>
      <c r="R13" s="266" t="str">
        <f>IF(OR(ISBLANK($D13),ISBLANK($K13),ISBLANK(Q13)),"",Ceilings!$V$3*Q13)</f>
        <v/>
      </c>
      <c r="S13" s="72" t="str">
        <f t="shared" si="1"/>
        <v/>
      </c>
    </row>
    <row r="14" spans="1:258" ht="15.75" customHeight="1">
      <c r="A14" s="506"/>
      <c r="B14" s="51" t="str">
        <f>IF(ISBLANK(A14),"",VLOOKUP(A14,Management!$A$11:$C$25,2,0))</f>
        <v/>
      </c>
      <c r="C14" s="455"/>
      <c r="D14" s="421"/>
      <c r="E14" s="456"/>
      <c r="F14" s="434"/>
      <c r="G14" s="95" t="str">
        <f t="shared" si="2"/>
        <v/>
      </c>
      <c r="H14" s="435"/>
      <c r="I14" s="434"/>
      <c r="J14" s="95" t="str">
        <f t="shared" si="3"/>
        <v/>
      </c>
      <c r="K14" s="81"/>
      <c r="L14" s="362"/>
      <c r="M14" s="256" t="str">
        <f t="shared" si="4"/>
        <v/>
      </c>
      <c r="N14" s="184" t="str">
        <f>IF(OR(ISBLANK($D14),ISBLANK($K14),ISBLANK($L14)),"",IF($L14="0–9 km",0,IF(LEFT($D14,18)="Long-term teaching",VLOOKUP($K14,Subsistence,2,0)*14+VLOOKUP($K14,Subsistence,3,0)*46+VLOOKUP($K14,Subsistence,4,0)*($F14-60),IF(LEFT($D14,18)="Short-term joint s",IF($F14&lt;15,Ceilings!$S$3*$F14,Ceilings!$S$3*14+Ceilings!$S$4*($F14-14)),IF($F14&lt;15,Ceilings!$S$6*$F14,Ceilings!$S$6*14+Ceilings!$S$7*($F14-14))))))</f>
        <v/>
      </c>
      <c r="O14" s="185" t="str">
        <f>IF(OR(ISBLANK(D14),ISBLANK(H14),ISBLANK(K14),ISBLANK(L14)),"",IF(L14="0–9 km",0,IF(I14&lt;15,Ceilings!$S$3*I14,Ceilings!$S$3*14+Ceilings!$S$4*(I14-14))))</f>
        <v/>
      </c>
      <c r="P14" s="183" t="str">
        <f t="shared" si="0"/>
        <v/>
      </c>
      <c r="Q14" s="436"/>
      <c r="R14" s="266" t="str">
        <f>IF(OR(ISBLANK($D14),ISBLANK($K14),ISBLANK(Q14)),"",Ceilings!$V$3*Q14)</f>
        <v/>
      </c>
      <c r="S14" s="72" t="str">
        <f t="shared" si="1"/>
        <v/>
      </c>
    </row>
    <row r="15" spans="1:258" ht="15.75" customHeight="1">
      <c r="A15" s="506"/>
      <c r="B15" s="51" t="str">
        <f>IF(ISBLANK(A15),"",VLOOKUP(A15,Management!$A$11:$C$25,2,0))</f>
        <v/>
      </c>
      <c r="C15" s="455"/>
      <c r="D15" s="421"/>
      <c r="E15" s="456"/>
      <c r="F15" s="434"/>
      <c r="G15" s="95" t="str">
        <f t="shared" si="2"/>
        <v/>
      </c>
      <c r="H15" s="435"/>
      <c r="I15" s="434"/>
      <c r="J15" s="95" t="str">
        <f t="shared" si="3"/>
        <v/>
      </c>
      <c r="K15" s="81"/>
      <c r="L15" s="362"/>
      <c r="M15" s="256" t="str">
        <f t="shared" si="4"/>
        <v/>
      </c>
      <c r="N15" s="184" t="str">
        <f>IF(OR(ISBLANK($D15),ISBLANK($K15),ISBLANK($L15)),"",IF($L15="0–9 km",0,IF(LEFT($D15,18)="Long-term teaching",VLOOKUP($K15,Subsistence,2,0)*14+VLOOKUP($K15,Subsistence,3,0)*46+VLOOKUP($K15,Subsistence,4,0)*($F15-60),IF(LEFT($D15,18)="Short-term joint s",IF($F15&lt;15,Ceilings!$S$3*$F15,Ceilings!$S$3*14+Ceilings!$S$4*($F15-14)),IF($F15&lt;15,Ceilings!$S$6*$F15,Ceilings!$S$6*14+Ceilings!$S$7*($F15-14))))))</f>
        <v/>
      </c>
      <c r="O15" s="185" t="str">
        <f>IF(OR(ISBLANK(D15),ISBLANK(H15),ISBLANK(K15),ISBLANK(L15)),"",IF(L15="0–9 km",0,IF(I15&lt;15,Ceilings!$S$3*I15,Ceilings!$S$3*14+Ceilings!$S$4*(I15-14))))</f>
        <v/>
      </c>
      <c r="P15" s="183" t="str">
        <f t="shared" si="0"/>
        <v/>
      </c>
      <c r="Q15" s="436"/>
      <c r="R15" s="266" t="str">
        <f>IF(OR(ISBLANK($D15),ISBLANK($K15),ISBLANK(Q15)),"",Ceilings!$V$3*Q15)</f>
        <v/>
      </c>
      <c r="S15" s="72" t="str">
        <f t="shared" si="1"/>
        <v/>
      </c>
    </row>
    <row r="16" spans="1:258" ht="15.75" customHeight="1">
      <c r="A16" s="506"/>
      <c r="B16" s="51" t="str">
        <f>IF(ISBLANK(A16),"",VLOOKUP(A16,Management!$A$11:$C$25,2,0))</f>
        <v/>
      </c>
      <c r="C16" s="455"/>
      <c r="D16" s="421"/>
      <c r="E16" s="456"/>
      <c r="F16" s="434"/>
      <c r="G16" s="95" t="str">
        <f t="shared" si="2"/>
        <v/>
      </c>
      <c r="H16" s="435"/>
      <c r="I16" s="434"/>
      <c r="J16" s="95" t="str">
        <f t="shared" si="3"/>
        <v/>
      </c>
      <c r="K16" s="81"/>
      <c r="L16" s="362"/>
      <c r="M16" s="256" t="str">
        <f t="shared" si="4"/>
        <v/>
      </c>
      <c r="N16" s="184" t="str">
        <f>IF(OR(ISBLANK($D16),ISBLANK($K16),ISBLANK($L16)),"",IF($L16="0–9 km",0,IF(LEFT($D16,18)="Long-term teaching",VLOOKUP($K16,Subsistence,2,0)*14+VLOOKUP($K16,Subsistence,3,0)*46+VLOOKUP($K16,Subsistence,4,0)*($F16-60),IF(LEFT($D16,18)="Short-term joint s",IF($F16&lt;15,Ceilings!$S$3*$F16,Ceilings!$S$3*14+Ceilings!$S$4*($F16-14)),IF($F16&lt;15,Ceilings!$S$6*$F16,Ceilings!$S$6*14+Ceilings!$S$7*($F16-14))))))</f>
        <v/>
      </c>
      <c r="O16" s="185" t="str">
        <f>IF(OR(ISBLANK(D16),ISBLANK(H16),ISBLANK(K16),ISBLANK(L16)),"",IF(L16="0–9 km",0,IF(I16&lt;15,Ceilings!$S$3*I16,Ceilings!$S$3*14+Ceilings!$S$4*(I16-14))))</f>
        <v/>
      </c>
      <c r="P16" s="183" t="str">
        <f t="shared" si="0"/>
        <v/>
      </c>
      <c r="Q16" s="436"/>
      <c r="R16" s="266" t="str">
        <f>IF(OR(ISBLANK($D16),ISBLANK($K16),ISBLANK(Q16)),"",Ceilings!$V$3*Q16)</f>
        <v/>
      </c>
      <c r="S16" s="72" t="str">
        <f t="shared" si="1"/>
        <v/>
      </c>
    </row>
    <row r="17" spans="1:19" ht="15.75" customHeight="1">
      <c r="A17" s="506"/>
      <c r="B17" s="51" t="str">
        <f>IF(ISBLANK(A17),"",VLOOKUP(A17,Management!$A$11:$C$25,2,0))</f>
        <v/>
      </c>
      <c r="C17" s="455"/>
      <c r="D17" s="421"/>
      <c r="E17" s="456"/>
      <c r="F17" s="434"/>
      <c r="G17" s="95" t="str">
        <f t="shared" si="2"/>
        <v/>
      </c>
      <c r="H17" s="435"/>
      <c r="I17" s="434"/>
      <c r="J17" s="95" t="str">
        <f t="shared" si="3"/>
        <v/>
      </c>
      <c r="K17" s="81"/>
      <c r="L17" s="362"/>
      <c r="M17" s="256" t="str">
        <f t="shared" si="4"/>
        <v/>
      </c>
      <c r="N17" s="184" t="str">
        <f>IF(OR(ISBLANK($D17),ISBLANK($K17),ISBLANK($L17)),"",IF($L17="0–9 km",0,IF(LEFT($D17,18)="Long-term teaching",VLOOKUP($K17,Subsistence,2,0)*14+VLOOKUP($K17,Subsistence,3,0)*46+VLOOKUP($K17,Subsistence,4,0)*($F17-60),IF(LEFT($D17,18)="Short-term joint s",IF($F17&lt;15,Ceilings!$S$3*$F17,Ceilings!$S$3*14+Ceilings!$S$4*($F17-14)),IF($F17&lt;15,Ceilings!$S$6*$F17,Ceilings!$S$6*14+Ceilings!$S$7*($F17-14))))))</f>
        <v/>
      </c>
      <c r="O17" s="185" t="str">
        <f>IF(OR(ISBLANK(D17),ISBLANK(H17),ISBLANK(K17),ISBLANK(L17)),"",IF(L17="0–9 km",0,IF(I17&lt;15,Ceilings!$S$3*I17,Ceilings!$S$3*14+Ceilings!$S$4*(I17-14))))</f>
        <v/>
      </c>
      <c r="P17" s="183" t="str">
        <f t="shared" si="0"/>
        <v/>
      </c>
      <c r="Q17" s="436"/>
      <c r="R17" s="266" t="str">
        <f>IF(OR(ISBLANK($D17),ISBLANK($K17),ISBLANK(Q17)),"",Ceilings!$V$3*Q17)</f>
        <v/>
      </c>
      <c r="S17" s="72" t="str">
        <f t="shared" si="1"/>
        <v/>
      </c>
    </row>
    <row r="18" spans="1:19" ht="15.75" customHeight="1">
      <c r="A18" s="506"/>
      <c r="B18" s="51" t="str">
        <f>IF(ISBLANK(A18),"",VLOOKUP(A18,Management!$A$11:$C$25,2,0))</f>
        <v/>
      </c>
      <c r="C18" s="455"/>
      <c r="D18" s="421"/>
      <c r="E18" s="456"/>
      <c r="F18" s="434"/>
      <c r="G18" s="95" t="str">
        <f t="shared" si="2"/>
        <v/>
      </c>
      <c r="H18" s="435"/>
      <c r="I18" s="434"/>
      <c r="J18" s="95" t="str">
        <f t="shared" si="3"/>
        <v/>
      </c>
      <c r="K18" s="81"/>
      <c r="L18" s="362"/>
      <c r="M18" s="256" t="str">
        <f t="shared" si="4"/>
        <v/>
      </c>
      <c r="N18" s="184" t="str">
        <f>IF(OR(ISBLANK($D18),ISBLANK($K18),ISBLANK($L18)),"",IF($L18="0–9 km",0,IF(LEFT($D18,18)="Long-term teaching",VLOOKUP($K18,Subsistence,2,0)*14+VLOOKUP($K18,Subsistence,3,0)*46+VLOOKUP($K18,Subsistence,4,0)*($F18-60),IF(LEFT($D18,18)="Short-term joint s",IF($F18&lt;15,Ceilings!$S$3*$F18,Ceilings!$S$3*14+Ceilings!$S$4*($F18-14)),IF($F18&lt;15,Ceilings!$S$6*$F18,Ceilings!$S$6*14+Ceilings!$S$7*($F18-14))))))</f>
        <v/>
      </c>
      <c r="O18" s="185" t="str">
        <f>IF(OR(ISBLANK(D18),ISBLANK(H18),ISBLANK(K18),ISBLANK(L18)),"",IF(L18="0–9 km",0,IF(I18&lt;15,Ceilings!$S$3*I18,Ceilings!$S$3*14+Ceilings!$S$4*(I18-14))))</f>
        <v/>
      </c>
      <c r="P18" s="183" t="str">
        <f t="shared" si="0"/>
        <v/>
      </c>
      <c r="Q18" s="436"/>
      <c r="R18" s="266" t="str">
        <f>IF(OR(ISBLANK($D18),ISBLANK($K18),ISBLANK(Q18)),"",Ceilings!$V$3*Q18)</f>
        <v/>
      </c>
      <c r="S18" s="72" t="str">
        <f t="shared" si="1"/>
        <v/>
      </c>
    </row>
    <row r="19" spans="1:19" ht="15.75" customHeight="1">
      <c r="A19" s="506"/>
      <c r="B19" s="51" t="str">
        <f>IF(ISBLANK(A19),"",VLOOKUP(A19,Management!$A$11:$C$25,2,0))</f>
        <v/>
      </c>
      <c r="C19" s="455"/>
      <c r="D19" s="421"/>
      <c r="E19" s="456"/>
      <c r="F19" s="434"/>
      <c r="G19" s="95" t="str">
        <f t="shared" si="2"/>
        <v/>
      </c>
      <c r="H19" s="435"/>
      <c r="I19" s="434"/>
      <c r="J19" s="95" t="str">
        <f t="shared" si="3"/>
        <v/>
      </c>
      <c r="K19" s="81"/>
      <c r="L19" s="362"/>
      <c r="M19" s="256" t="str">
        <f t="shared" si="4"/>
        <v/>
      </c>
      <c r="N19" s="184" t="str">
        <f>IF(OR(ISBLANK($D19),ISBLANK($K19),ISBLANK($L19)),"",IF($L19="0–9 km",0,IF(LEFT($D19,18)="Long-term teaching",VLOOKUP($K19,Subsistence,2,0)*14+VLOOKUP($K19,Subsistence,3,0)*46+VLOOKUP($K19,Subsistence,4,0)*($F19-60),IF(LEFT($D19,18)="Short-term joint s",IF($F19&lt;15,Ceilings!$S$3*$F19,Ceilings!$S$3*14+Ceilings!$S$4*($F19-14)),IF($F19&lt;15,Ceilings!$S$6*$F19,Ceilings!$S$6*14+Ceilings!$S$7*($F19-14))))))</f>
        <v/>
      </c>
      <c r="O19" s="185" t="str">
        <f>IF(OR(ISBLANK(D19),ISBLANK(H19),ISBLANK(K19),ISBLANK(L19)),"",IF(L19="0–9 km",0,IF(I19&lt;15,Ceilings!$S$3*I19,Ceilings!$S$3*14+Ceilings!$S$4*(I19-14))))</f>
        <v/>
      </c>
      <c r="P19" s="183" t="str">
        <f t="shared" si="0"/>
        <v/>
      </c>
      <c r="Q19" s="436"/>
      <c r="R19" s="266" t="str">
        <f>IF(OR(ISBLANK($D19),ISBLANK($K19),ISBLANK(Q19)),"",Ceilings!$V$3*Q19)</f>
        <v/>
      </c>
      <c r="S19" s="72" t="str">
        <f t="shared" si="1"/>
        <v/>
      </c>
    </row>
    <row r="20" spans="1:19" ht="15.75" customHeight="1">
      <c r="A20" s="506"/>
      <c r="B20" s="51" t="str">
        <f>IF(ISBLANK(A20),"",VLOOKUP(A20,Management!$A$11:$C$25,2,0))</f>
        <v/>
      </c>
      <c r="C20" s="455"/>
      <c r="D20" s="421"/>
      <c r="E20" s="456"/>
      <c r="F20" s="434"/>
      <c r="G20" s="95" t="str">
        <f t="shared" si="2"/>
        <v/>
      </c>
      <c r="H20" s="435"/>
      <c r="I20" s="434"/>
      <c r="J20" s="95" t="str">
        <f t="shared" si="3"/>
        <v/>
      </c>
      <c r="K20" s="81"/>
      <c r="L20" s="362"/>
      <c r="M20" s="256" t="str">
        <f t="shared" si="4"/>
        <v/>
      </c>
      <c r="N20" s="184" t="str">
        <f>IF(OR(ISBLANK($D20),ISBLANK($K20),ISBLANK($L20)),"",IF($L20="0–9 km",0,IF(LEFT($D20,18)="Long-term teaching",VLOOKUP($K20,Subsistence,2,0)*14+VLOOKUP($K20,Subsistence,3,0)*46+VLOOKUP($K20,Subsistence,4,0)*($F20-60),IF(LEFT($D20,18)="Short-term joint s",IF($F20&lt;15,Ceilings!$S$3*$F20,Ceilings!$S$3*14+Ceilings!$S$4*($F20-14)),IF($F20&lt;15,Ceilings!$S$6*$F20,Ceilings!$S$6*14+Ceilings!$S$7*($F20-14))))))</f>
        <v/>
      </c>
      <c r="O20" s="185" t="str">
        <f>IF(OR(ISBLANK(D20),ISBLANK(H20),ISBLANK(K20),ISBLANK(L20)),"",IF(L20="0–9 km",0,IF(I20&lt;15,Ceilings!$S$3*I20,Ceilings!$S$3*14+Ceilings!$S$4*(I20-14))))</f>
        <v/>
      </c>
      <c r="P20" s="183" t="str">
        <f t="shared" si="0"/>
        <v/>
      </c>
      <c r="Q20" s="436"/>
      <c r="R20" s="266" t="str">
        <f>IF(OR(ISBLANK($D20),ISBLANK($K20),ISBLANK(Q20)),"",Ceilings!$V$3*Q20)</f>
        <v/>
      </c>
      <c r="S20" s="72" t="str">
        <f t="shared" si="1"/>
        <v/>
      </c>
    </row>
    <row r="21" spans="1:19" ht="15.75" customHeight="1">
      <c r="A21" s="506"/>
      <c r="B21" s="51" t="str">
        <f>IF(ISBLANK(A21),"",VLOOKUP(A21,Management!$A$11:$C$25,2,0))</f>
        <v/>
      </c>
      <c r="C21" s="455"/>
      <c r="D21" s="421"/>
      <c r="E21" s="456"/>
      <c r="F21" s="434"/>
      <c r="G21" s="95" t="str">
        <f t="shared" si="2"/>
        <v/>
      </c>
      <c r="H21" s="435"/>
      <c r="I21" s="434"/>
      <c r="J21" s="95" t="str">
        <f t="shared" si="3"/>
        <v/>
      </c>
      <c r="K21" s="81"/>
      <c r="L21" s="362"/>
      <c r="M21" s="256" t="str">
        <f t="shared" si="4"/>
        <v/>
      </c>
      <c r="N21" s="184" t="str">
        <f>IF(OR(ISBLANK($D21),ISBLANK($K21),ISBLANK($L21)),"",IF($L21="0–9 km",0,IF(LEFT($D21,18)="Long-term teaching",VLOOKUP($K21,Subsistence,2,0)*14+VLOOKUP($K21,Subsistence,3,0)*46+VLOOKUP($K21,Subsistence,4,0)*($F21-60),IF(LEFT($D21,18)="Short-term joint s",IF($F21&lt;15,Ceilings!$S$3*$F21,Ceilings!$S$3*14+Ceilings!$S$4*($F21-14)),IF($F21&lt;15,Ceilings!$S$6*$F21,Ceilings!$S$6*14+Ceilings!$S$7*($F21-14))))))</f>
        <v/>
      </c>
      <c r="O21" s="185" t="str">
        <f>IF(OR(ISBLANK(D21),ISBLANK(H21),ISBLANK(K21),ISBLANK(L21)),"",IF(L21="0–9 km",0,IF(I21&lt;15,Ceilings!$S$3*I21,Ceilings!$S$3*14+Ceilings!$S$4*(I21-14))))</f>
        <v/>
      </c>
      <c r="P21" s="183" t="str">
        <f t="shared" si="0"/>
        <v/>
      </c>
      <c r="Q21" s="436"/>
      <c r="R21" s="266" t="str">
        <f>IF(OR(ISBLANK($D21),ISBLANK($K21),ISBLANK(Q21)),"",Ceilings!$V$3*Q21)</f>
        <v/>
      </c>
      <c r="S21" s="72" t="str">
        <f t="shared" si="1"/>
        <v/>
      </c>
    </row>
    <row r="22" spans="1:19" ht="15.75" customHeight="1">
      <c r="A22" s="506"/>
      <c r="B22" s="51" t="str">
        <f>IF(ISBLANK(A22),"",VLOOKUP(A22,Management!$A$11:$C$25,2,0))</f>
        <v/>
      </c>
      <c r="C22" s="455"/>
      <c r="D22" s="421"/>
      <c r="E22" s="456"/>
      <c r="F22" s="434"/>
      <c r="G22" s="95" t="str">
        <f t="shared" si="2"/>
        <v/>
      </c>
      <c r="H22" s="435"/>
      <c r="I22" s="434"/>
      <c r="J22" s="95" t="str">
        <f t="shared" si="3"/>
        <v/>
      </c>
      <c r="K22" s="81"/>
      <c r="L22" s="362"/>
      <c r="M22" s="256" t="str">
        <f t="shared" si="4"/>
        <v/>
      </c>
      <c r="N22" s="184" t="str">
        <f>IF(OR(ISBLANK($D22),ISBLANK($K22),ISBLANK($L22)),"",IF($L22="0–9 km",0,IF(LEFT($D22,18)="Long-term teaching",VLOOKUP($K22,Subsistence,2,0)*14+VLOOKUP($K22,Subsistence,3,0)*46+VLOOKUP($K22,Subsistence,4,0)*($F22-60),IF(LEFT($D22,18)="Short-term joint s",IF($F22&lt;15,Ceilings!$S$3*$F22,Ceilings!$S$3*14+Ceilings!$S$4*($F22-14)),IF($F22&lt;15,Ceilings!$S$6*$F22,Ceilings!$S$6*14+Ceilings!$S$7*($F22-14))))))</f>
        <v/>
      </c>
      <c r="O22" s="185" t="str">
        <f>IF(OR(ISBLANK(D22),ISBLANK(H22),ISBLANK(K22),ISBLANK(L22)),"",IF(L22="0–9 km",0,IF(I22&lt;15,Ceilings!$S$3*I22,Ceilings!$S$3*14+Ceilings!$S$4*(I22-14))))</f>
        <v/>
      </c>
      <c r="P22" s="183" t="str">
        <f t="shared" si="0"/>
        <v/>
      </c>
      <c r="Q22" s="436"/>
      <c r="R22" s="266" t="str">
        <f>IF(OR(ISBLANK($D22),ISBLANK($K22),ISBLANK(Q22)),"",Ceilings!$V$3*Q22)</f>
        <v/>
      </c>
      <c r="S22" s="72" t="str">
        <f t="shared" si="1"/>
        <v/>
      </c>
    </row>
    <row r="23" spans="1:19" ht="15.75" customHeight="1">
      <c r="A23" s="506"/>
      <c r="B23" s="51" t="str">
        <f>IF(ISBLANK(A23),"",VLOOKUP(A23,Management!$A$11:$C$25,2,0))</f>
        <v/>
      </c>
      <c r="C23" s="455"/>
      <c r="D23" s="421"/>
      <c r="E23" s="456"/>
      <c r="F23" s="434"/>
      <c r="G23" s="95" t="str">
        <f t="shared" si="2"/>
        <v/>
      </c>
      <c r="H23" s="435"/>
      <c r="I23" s="434"/>
      <c r="J23" s="95" t="str">
        <f t="shared" si="3"/>
        <v/>
      </c>
      <c r="K23" s="81"/>
      <c r="L23" s="362"/>
      <c r="M23" s="256" t="str">
        <f t="shared" si="4"/>
        <v/>
      </c>
      <c r="N23" s="184" t="str">
        <f>IF(OR(ISBLANK($D23),ISBLANK($K23),ISBLANK($L23)),"",IF($L23="0–9 km",0,IF(LEFT($D23,18)="Long-term teaching",VLOOKUP($K23,Subsistence,2,0)*14+VLOOKUP($K23,Subsistence,3,0)*46+VLOOKUP($K23,Subsistence,4,0)*($F23-60),IF(LEFT($D23,18)="Short-term joint s",IF($F23&lt;15,Ceilings!$S$3*$F23,Ceilings!$S$3*14+Ceilings!$S$4*($F23-14)),IF($F23&lt;15,Ceilings!$S$6*$F23,Ceilings!$S$6*14+Ceilings!$S$7*($F23-14))))))</f>
        <v/>
      </c>
      <c r="O23" s="185" t="str">
        <f>IF(OR(ISBLANK(D23),ISBLANK(H23),ISBLANK(K23),ISBLANK(L23)),"",IF(L23="0–9 km",0,IF(I23&lt;15,Ceilings!$S$3*I23,Ceilings!$S$3*14+Ceilings!$S$4*(I23-14))))</f>
        <v/>
      </c>
      <c r="P23" s="183" t="str">
        <f t="shared" si="0"/>
        <v/>
      </c>
      <c r="Q23" s="436"/>
      <c r="R23" s="266" t="str">
        <f>IF(OR(ISBLANK($D23),ISBLANK($K23),ISBLANK(Q23)),"",Ceilings!$V$3*Q23)</f>
        <v/>
      </c>
      <c r="S23" s="72" t="str">
        <f t="shared" si="1"/>
        <v/>
      </c>
    </row>
    <row r="24" spans="1:19" ht="15.75" customHeight="1">
      <c r="A24" s="506"/>
      <c r="B24" s="51" t="str">
        <f>IF(ISBLANK(A24),"",VLOOKUP(A24,Management!$A$11:$C$25,2,0))</f>
        <v/>
      </c>
      <c r="C24" s="455"/>
      <c r="D24" s="421"/>
      <c r="E24" s="456"/>
      <c r="F24" s="434"/>
      <c r="G24" s="95" t="str">
        <f t="shared" si="2"/>
        <v/>
      </c>
      <c r="H24" s="435"/>
      <c r="I24" s="434"/>
      <c r="J24" s="95" t="str">
        <f t="shared" si="3"/>
        <v/>
      </c>
      <c r="K24" s="81"/>
      <c r="L24" s="362"/>
      <c r="M24" s="256" t="str">
        <f t="shared" si="4"/>
        <v/>
      </c>
      <c r="N24" s="184" t="str">
        <f>IF(OR(ISBLANK($D24),ISBLANK($K24),ISBLANK($L24)),"",IF($L24="0–9 km",0,IF(LEFT($D24,18)="Long-term teaching",VLOOKUP($K24,Subsistence,2,0)*14+VLOOKUP($K24,Subsistence,3,0)*46+VLOOKUP($K24,Subsistence,4,0)*($F24-60),IF(LEFT($D24,18)="Short-term joint s",IF($F24&lt;15,Ceilings!$S$3*$F24,Ceilings!$S$3*14+Ceilings!$S$4*($F24-14)),IF($F24&lt;15,Ceilings!$S$6*$F24,Ceilings!$S$6*14+Ceilings!$S$7*($F24-14))))))</f>
        <v/>
      </c>
      <c r="O24" s="185" t="str">
        <f>IF(OR(ISBLANK(D24),ISBLANK(H24),ISBLANK(K24),ISBLANK(L24)),"",IF(L24="0–9 km",0,IF(I24&lt;15,Ceilings!$S$3*I24,Ceilings!$S$3*14+Ceilings!$S$4*(I24-14))))</f>
        <v/>
      </c>
      <c r="P24" s="183" t="str">
        <f t="shared" si="0"/>
        <v/>
      </c>
      <c r="Q24" s="436"/>
      <c r="R24" s="266" t="str">
        <f>IF(OR(ISBLANK($D24),ISBLANK($K24),ISBLANK(Q24)),"",Ceilings!$V$3*Q24)</f>
        <v/>
      </c>
      <c r="S24" s="72" t="str">
        <f t="shared" si="1"/>
        <v/>
      </c>
    </row>
    <row r="25" spans="1:19" ht="15.75" customHeight="1">
      <c r="A25" s="506"/>
      <c r="B25" s="51" t="str">
        <f>IF(ISBLANK(A25),"",VLOOKUP(A25,Management!$A$11:$C$25,2,0))</f>
        <v/>
      </c>
      <c r="C25" s="455"/>
      <c r="D25" s="421"/>
      <c r="E25" s="456"/>
      <c r="F25" s="434"/>
      <c r="G25" s="95" t="str">
        <f t="shared" si="2"/>
        <v/>
      </c>
      <c r="H25" s="435"/>
      <c r="I25" s="434"/>
      <c r="J25" s="95" t="str">
        <f t="shared" si="3"/>
        <v/>
      </c>
      <c r="K25" s="81"/>
      <c r="L25" s="362"/>
      <c r="M25" s="256" t="str">
        <f t="shared" si="4"/>
        <v/>
      </c>
      <c r="N25" s="184" t="str">
        <f>IF(OR(ISBLANK($D25),ISBLANK($K25),ISBLANK($L25)),"",IF($L25="0–9 km",0,IF(LEFT($D25,18)="Long-term teaching",VLOOKUP($K25,Subsistence,2,0)*14+VLOOKUP($K25,Subsistence,3,0)*46+VLOOKUP($K25,Subsistence,4,0)*($F25-60),IF(LEFT($D25,18)="Short-term joint s",IF($F25&lt;15,Ceilings!$S$3*$F25,Ceilings!$S$3*14+Ceilings!$S$4*($F25-14)),IF($F25&lt;15,Ceilings!$S$6*$F25,Ceilings!$S$6*14+Ceilings!$S$7*($F25-14))))))</f>
        <v/>
      </c>
      <c r="O25" s="185" t="str">
        <f>IF(OR(ISBLANK(D25),ISBLANK(H25),ISBLANK(K25),ISBLANK(L25)),"",IF(L25="0–9 km",0,IF(I25&lt;15,Ceilings!$S$3*I25,Ceilings!$S$3*14+Ceilings!$S$4*(I25-14))))</f>
        <v/>
      </c>
      <c r="P25" s="183" t="str">
        <f t="shared" si="0"/>
        <v/>
      </c>
      <c r="Q25" s="436"/>
      <c r="R25" s="266" t="str">
        <f>IF(OR(ISBLANK($D25),ISBLANK($K25),ISBLANK(Q25)),"",Ceilings!$V$3*Q25)</f>
        <v/>
      </c>
      <c r="S25" s="72" t="str">
        <f t="shared" si="1"/>
        <v/>
      </c>
    </row>
    <row r="26" spans="1:19" ht="15.75" customHeight="1">
      <c r="A26" s="506"/>
      <c r="B26" s="51" t="str">
        <f>IF(ISBLANK(A26),"",VLOOKUP(A26,Management!$A$11:$C$25,2,0))</f>
        <v/>
      </c>
      <c r="C26" s="455"/>
      <c r="D26" s="421"/>
      <c r="E26" s="456"/>
      <c r="F26" s="434"/>
      <c r="G26" s="95" t="str">
        <f t="shared" si="2"/>
        <v/>
      </c>
      <c r="H26" s="435"/>
      <c r="I26" s="434"/>
      <c r="J26" s="95" t="str">
        <f t="shared" si="3"/>
        <v/>
      </c>
      <c r="K26" s="81"/>
      <c r="L26" s="362"/>
      <c r="M26" s="256" t="str">
        <f t="shared" si="4"/>
        <v/>
      </c>
      <c r="N26" s="184" t="str">
        <f>IF(OR(ISBLANK($D26),ISBLANK($K26),ISBLANK($L26)),"",IF($L26="0–9 km",0,IF(LEFT($D26,18)="Long-term teaching",VLOOKUP($K26,Subsistence,2,0)*14+VLOOKUP($K26,Subsistence,3,0)*46+VLOOKUP($K26,Subsistence,4,0)*($F26-60),IF(LEFT($D26,18)="Short-term joint s",IF($F26&lt;15,Ceilings!$S$3*$F26,Ceilings!$S$3*14+Ceilings!$S$4*($F26-14)),IF($F26&lt;15,Ceilings!$S$6*$F26,Ceilings!$S$6*14+Ceilings!$S$7*($F26-14))))))</f>
        <v/>
      </c>
      <c r="O26" s="185" t="str">
        <f>IF(OR(ISBLANK(D26),ISBLANK(H26),ISBLANK(K26),ISBLANK(L26)),"",IF(L26="0–9 km",0,IF(I26&lt;15,Ceilings!$S$3*I26,Ceilings!$S$3*14+Ceilings!$S$4*(I26-14))))</f>
        <v/>
      </c>
      <c r="P26" s="183" t="str">
        <f t="shared" si="0"/>
        <v/>
      </c>
      <c r="Q26" s="436"/>
      <c r="R26" s="266" t="str">
        <f>IF(OR(ISBLANK($D26),ISBLANK($K26),ISBLANK(Q26)),"",Ceilings!$V$3*Q26)</f>
        <v/>
      </c>
      <c r="S26" s="72" t="str">
        <f t="shared" si="1"/>
        <v/>
      </c>
    </row>
    <row r="27" spans="1:19" ht="15.75" customHeight="1">
      <c r="A27" s="506"/>
      <c r="B27" s="51" t="str">
        <f>IF(ISBLANK(A27),"",VLOOKUP(A27,Management!$A$11:$C$25,2,0))</f>
        <v/>
      </c>
      <c r="C27" s="455"/>
      <c r="D27" s="421"/>
      <c r="E27" s="456"/>
      <c r="F27" s="434"/>
      <c r="G27" s="95" t="str">
        <f t="shared" si="2"/>
        <v/>
      </c>
      <c r="H27" s="435"/>
      <c r="I27" s="434"/>
      <c r="J27" s="95" t="str">
        <f t="shared" si="3"/>
        <v/>
      </c>
      <c r="K27" s="81"/>
      <c r="L27" s="362"/>
      <c r="M27" s="256" t="str">
        <f t="shared" si="4"/>
        <v/>
      </c>
      <c r="N27" s="184" t="str">
        <f>IF(OR(ISBLANK($D27),ISBLANK($K27),ISBLANK($L27)),"",IF($L27="0–9 km",0,IF(LEFT($D27,18)="Long-term teaching",VLOOKUP($K27,Subsistence,2,0)*14+VLOOKUP($K27,Subsistence,3,0)*46+VLOOKUP($K27,Subsistence,4,0)*($F27-60),IF(LEFT($D27,18)="Short-term joint s",IF($F27&lt;15,Ceilings!$S$3*$F27,Ceilings!$S$3*14+Ceilings!$S$4*($F27-14)),IF($F27&lt;15,Ceilings!$S$6*$F27,Ceilings!$S$6*14+Ceilings!$S$7*($F27-14))))))</f>
        <v/>
      </c>
      <c r="O27" s="185" t="str">
        <f>IF(OR(ISBLANK(D27),ISBLANK(H27),ISBLANK(K27),ISBLANK(L27)),"",IF(L27="0–9 km",0,IF(I27&lt;15,Ceilings!$S$3*I27,Ceilings!$S$3*14+Ceilings!$S$4*(I27-14))))</f>
        <v/>
      </c>
      <c r="P27" s="183" t="str">
        <f t="shared" si="0"/>
        <v/>
      </c>
      <c r="Q27" s="436"/>
      <c r="R27" s="266" t="str">
        <f>IF(OR(ISBLANK($D27),ISBLANK($K27),ISBLANK(Q27)),"",Ceilings!$V$3*Q27)</f>
        <v/>
      </c>
      <c r="S27" s="72" t="str">
        <f t="shared" si="1"/>
        <v/>
      </c>
    </row>
    <row r="28" spans="1:19" ht="15.75" customHeight="1">
      <c r="A28" s="506"/>
      <c r="B28" s="51" t="str">
        <f>IF(ISBLANK(A28),"",VLOOKUP(A28,Management!$A$11:$C$25,2,0))</f>
        <v/>
      </c>
      <c r="C28" s="455"/>
      <c r="D28" s="421"/>
      <c r="E28" s="456"/>
      <c r="F28" s="434"/>
      <c r="G28" s="95" t="str">
        <f t="shared" si="2"/>
        <v/>
      </c>
      <c r="H28" s="435"/>
      <c r="I28" s="434"/>
      <c r="J28" s="95" t="str">
        <f t="shared" si="3"/>
        <v/>
      </c>
      <c r="K28" s="81"/>
      <c r="L28" s="362"/>
      <c r="M28" s="256" t="str">
        <f t="shared" si="4"/>
        <v/>
      </c>
      <c r="N28" s="184" t="str">
        <f>IF(OR(ISBLANK($D28),ISBLANK($K28),ISBLANK($L28)),"",IF($L28="0–9 km",0,IF(LEFT($D28,18)="Long-term teaching",VLOOKUP($K28,Subsistence,2,0)*14+VLOOKUP($K28,Subsistence,3,0)*46+VLOOKUP($K28,Subsistence,4,0)*($F28-60),IF(LEFT($D28,18)="Short-term joint s",IF($F28&lt;15,Ceilings!$S$3*$F28,Ceilings!$S$3*14+Ceilings!$S$4*($F28-14)),IF($F28&lt;15,Ceilings!$S$6*$F28,Ceilings!$S$6*14+Ceilings!$S$7*($F28-14))))))</f>
        <v/>
      </c>
      <c r="O28" s="185" t="str">
        <f>IF(OR(ISBLANK(D28),ISBLANK(H28),ISBLANK(K28),ISBLANK(L28)),"",IF(L28="0–9 km",0,IF(I28&lt;15,Ceilings!$S$3*I28,Ceilings!$S$3*14+Ceilings!$S$4*(I28-14))))</f>
        <v/>
      </c>
      <c r="P28" s="183" t="str">
        <f t="shared" si="0"/>
        <v/>
      </c>
      <c r="Q28" s="436"/>
      <c r="R28" s="266" t="str">
        <f>IF(OR(ISBLANK($D28),ISBLANK($K28),ISBLANK(Q28)),"",Ceilings!$V$3*Q28)</f>
        <v/>
      </c>
      <c r="S28" s="72" t="str">
        <f t="shared" si="1"/>
        <v/>
      </c>
    </row>
    <row r="29" spans="1:19" ht="15.75" customHeight="1">
      <c r="A29" s="506"/>
      <c r="B29" s="51" t="str">
        <f>IF(ISBLANK(A29),"",VLOOKUP(A29,Management!$A$11:$C$25,2,0))</f>
        <v/>
      </c>
      <c r="C29" s="455"/>
      <c r="D29" s="421"/>
      <c r="E29" s="456"/>
      <c r="F29" s="434"/>
      <c r="G29" s="95" t="str">
        <f t="shared" si="2"/>
        <v/>
      </c>
      <c r="H29" s="435"/>
      <c r="I29" s="434"/>
      <c r="J29" s="95" t="str">
        <f t="shared" si="3"/>
        <v/>
      </c>
      <c r="K29" s="81"/>
      <c r="L29" s="362"/>
      <c r="M29" s="256" t="str">
        <f t="shared" si="4"/>
        <v/>
      </c>
      <c r="N29" s="184" t="str">
        <f>IF(OR(ISBLANK($D29),ISBLANK($K29),ISBLANK($L29)),"",IF($L29="0–9 km",0,IF(LEFT($D29,18)="Long-term teaching",VLOOKUP($K29,Subsistence,2,0)*14+VLOOKUP($K29,Subsistence,3,0)*46+VLOOKUP($K29,Subsistence,4,0)*($F29-60),IF(LEFT($D29,18)="Short-term joint s",IF($F29&lt;15,Ceilings!$S$3*$F29,Ceilings!$S$3*14+Ceilings!$S$4*($F29-14)),IF($F29&lt;15,Ceilings!$S$6*$F29,Ceilings!$S$6*14+Ceilings!$S$7*($F29-14))))))</f>
        <v/>
      </c>
      <c r="O29" s="185" t="str">
        <f>IF(OR(ISBLANK(D29),ISBLANK(H29),ISBLANK(K29),ISBLANK(L29)),"",IF(L29="0–9 km",0,IF(I29&lt;15,Ceilings!$S$3*I29,Ceilings!$S$3*14+Ceilings!$S$4*(I29-14))))</f>
        <v/>
      </c>
      <c r="P29" s="183" t="str">
        <f t="shared" si="0"/>
        <v/>
      </c>
      <c r="Q29" s="436"/>
      <c r="R29" s="266" t="str">
        <f>IF(OR(ISBLANK($D29),ISBLANK($K29),ISBLANK(Q29)),"",Ceilings!$V$3*Q29)</f>
        <v/>
      </c>
      <c r="S29" s="72" t="str">
        <f t="shared" si="1"/>
        <v/>
      </c>
    </row>
    <row r="30" spans="1:19" ht="15.75" customHeight="1">
      <c r="A30" s="506"/>
      <c r="B30" s="51" t="str">
        <f>IF(ISBLANK(A30),"",VLOOKUP(A30,Management!$A$11:$C$25,2,0))</f>
        <v/>
      </c>
      <c r="C30" s="455"/>
      <c r="D30" s="421"/>
      <c r="E30" s="456"/>
      <c r="F30" s="434"/>
      <c r="G30" s="95" t="str">
        <f t="shared" si="2"/>
        <v/>
      </c>
      <c r="H30" s="435"/>
      <c r="I30" s="434"/>
      <c r="J30" s="95" t="str">
        <f t="shared" si="3"/>
        <v/>
      </c>
      <c r="K30" s="81"/>
      <c r="L30" s="362"/>
      <c r="M30" s="256" t="str">
        <f t="shared" si="4"/>
        <v/>
      </c>
      <c r="N30" s="184" t="str">
        <f>IF(OR(ISBLANK($D30),ISBLANK($K30),ISBLANK($L30)),"",IF($L30="0–9 km",0,IF(LEFT($D30,18)="Long-term teaching",VLOOKUP($K30,Subsistence,2,0)*14+VLOOKUP($K30,Subsistence,3,0)*46+VLOOKUP($K30,Subsistence,4,0)*($F30-60),IF(LEFT($D30,18)="Short-term joint s",IF($F30&lt;15,Ceilings!$S$3*$F30,Ceilings!$S$3*14+Ceilings!$S$4*($F30-14)),IF($F30&lt;15,Ceilings!$S$6*$F30,Ceilings!$S$6*14+Ceilings!$S$7*($F30-14))))))</f>
        <v/>
      </c>
      <c r="O30" s="185" t="str">
        <f>IF(OR(ISBLANK(D30),ISBLANK(H30),ISBLANK(K30),ISBLANK(L30)),"",IF(L30="0–9 km",0,IF(I30&lt;15,Ceilings!$S$3*I30,Ceilings!$S$3*14+Ceilings!$S$4*(I30-14))))</f>
        <v/>
      </c>
      <c r="P30" s="183" t="str">
        <f t="shared" si="0"/>
        <v/>
      </c>
      <c r="Q30" s="436"/>
      <c r="R30" s="266" t="str">
        <f>IF(OR(ISBLANK($D30),ISBLANK($K30),ISBLANK(Q30)),"",Ceilings!$V$3*Q30)</f>
        <v/>
      </c>
      <c r="S30" s="72" t="str">
        <f t="shared" si="1"/>
        <v/>
      </c>
    </row>
    <row r="31" spans="1:19" ht="15.75" customHeight="1">
      <c r="A31" s="506"/>
      <c r="B31" s="51" t="str">
        <f>IF(ISBLANK(A31),"",VLOOKUP(A31,Management!$A$11:$C$25,2,0))</f>
        <v/>
      </c>
      <c r="C31" s="455"/>
      <c r="D31" s="421"/>
      <c r="E31" s="456"/>
      <c r="F31" s="434"/>
      <c r="G31" s="95" t="str">
        <f t="shared" si="2"/>
        <v/>
      </c>
      <c r="H31" s="435"/>
      <c r="I31" s="434"/>
      <c r="J31" s="95" t="str">
        <f t="shared" si="3"/>
        <v/>
      </c>
      <c r="K31" s="81"/>
      <c r="L31" s="362"/>
      <c r="M31" s="256" t="str">
        <f t="shared" si="4"/>
        <v/>
      </c>
      <c r="N31" s="184" t="str">
        <f>IF(OR(ISBLANK($D31),ISBLANK($K31),ISBLANK($L31)),"",IF($L31="0–9 km",0,IF(LEFT($D31,18)="Long-term teaching",VLOOKUP($K31,Subsistence,2,0)*14+VLOOKUP($K31,Subsistence,3,0)*46+VLOOKUP($K31,Subsistence,4,0)*($F31-60),IF(LEFT($D31,18)="Short-term joint s",IF($F31&lt;15,Ceilings!$S$3*$F31,Ceilings!$S$3*14+Ceilings!$S$4*($F31-14)),IF($F31&lt;15,Ceilings!$S$6*$F31,Ceilings!$S$6*14+Ceilings!$S$7*($F31-14))))))</f>
        <v/>
      </c>
      <c r="O31" s="185" t="str">
        <f>IF(OR(ISBLANK(D31),ISBLANK(H31),ISBLANK(K31),ISBLANK(L31)),"",IF(L31="0–9 km",0,IF(I31&lt;15,Ceilings!$S$3*I31,Ceilings!$S$3*14+Ceilings!$S$4*(I31-14))))</f>
        <v/>
      </c>
      <c r="P31" s="183" t="str">
        <f t="shared" si="0"/>
        <v/>
      </c>
      <c r="Q31" s="436"/>
      <c r="R31" s="266" t="str">
        <f>IF(OR(ISBLANK($D31),ISBLANK($K31),ISBLANK(Q31)),"",Ceilings!$V$3*Q31)</f>
        <v/>
      </c>
      <c r="S31" s="72" t="str">
        <f t="shared" si="1"/>
        <v/>
      </c>
    </row>
    <row r="32" spans="1:19" ht="15.75" customHeight="1">
      <c r="A32" s="506"/>
      <c r="B32" s="51" t="str">
        <f>IF(ISBLANK(A32),"",VLOOKUP(A32,Management!$A$11:$C$25,2,0))</f>
        <v/>
      </c>
      <c r="C32" s="455"/>
      <c r="D32" s="421"/>
      <c r="E32" s="456"/>
      <c r="F32" s="434"/>
      <c r="G32" s="95" t="str">
        <f t="shared" si="2"/>
        <v/>
      </c>
      <c r="H32" s="435"/>
      <c r="I32" s="434"/>
      <c r="J32" s="95" t="str">
        <f t="shared" si="3"/>
        <v/>
      </c>
      <c r="K32" s="81"/>
      <c r="L32" s="362"/>
      <c r="M32" s="256" t="str">
        <f t="shared" si="4"/>
        <v/>
      </c>
      <c r="N32" s="184" t="str">
        <f>IF(OR(ISBLANK($D32),ISBLANK($K32),ISBLANK($L32)),"",IF($L32="0–9 km",0,IF(LEFT($D32,18)="Long-term teaching",VLOOKUP($K32,Subsistence,2,0)*14+VLOOKUP($K32,Subsistence,3,0)*46+VLOOKUP($K32,Subsistence,4,0)*($F32-60),IF(LEFT($D32,18)="Short-term joint s",IF($F32&lt;15,Ceilings!$S$3*$F32,Ceilings!$S$3*14+Ceilings!$S$4*($F32-14)),IF($F32&lt;15,Ceilings!$S$6*$F32,Ceilings!$S$6*14+Ceilings!$S$7*($F32-14))))))</f>
        <v/>
      </c>
      <c r="O32" s="185" t="str">
        <f>IF(OR(ISBLANK(D32),ISBLANK(H32),ISBLANK(K32),ISBLANK(L32)),"",IF(L32="0–9 km",0,IF(I32&lt;15,Ceilings!$S$3*I32,Ceilings!$S$3*14+Ceilings!$S$4*(I32-14))))</f>
        <v/>
      </c>
      <c r="P32" s="183" t="str">
        <f t="shared" si="0"/>
        <v/>
      </c>
      <c r="Q32" s="436"/>
      <c r="R32" s="266" t="str">
        <f>IF(OR(ISBLANK($D32),ISBLANK($K32),ISBLANK(Q32)),"",Ceilings!$V$3*Q32)</f>
        <v/>
      </c>
      <c r="S32" s="72" t="str">
        <f t="shared" si="1"/>
        <v/>
      </c>
    </row>
    <row r="33" spans="1:19" ht="15.75" customHeight="1">
      <c r="A33" s="506"/>
      <c r="B33" s="51" t="str">
        <f>IF(ISBLANK(A33),"",VLOOKUP(A33,Management!$A$11:$C$25,2,0))</f>
        <v/>
      </c>
      <c r="C33" s="455"/>
      <c r="D33" s="421"/>
      <c r="E33" s="456"/>
      <c r="F33" s="434"/>
      <c r="G33" s="95" t="str">
        <f t="shared" si="2"/>
        <v/>
      </c>
      <c r="H33" s="435"/>
      <c r="I33" s="434"/>
      <c r="J33" s="95" t="str">
        <f t="shared" si="3"/>
        <v/>
      </c>
      <c r="K33" s="81"/>
      <c r="L33" s="362"/>
      <c r="M33" s="256" t="str">
        <f t="shared" si="4"/>
        <v/>
      </c>
      <c r="N33" s="184" t="str">
        <f>IF(OR(ISBLANK($D33),ISBLANK($K33),ISBLANK($L33)),"",IF($L33="0–9 km",0,IF(LEFT($D33,18)="Long-term teaching",VLOOKUP($K33,Subsistence,2,0)*14+VLOOKUP($K33,Subsistence,3,0)*46+VLOOKUP($K33,Subsistence,4,0)*($F33-60),IF(LEFT($D33,18)="Short-term joint s",IF($F33&lt;15,Ceilings!$S$3*$F33,Ceilings!$S$3*14+Ceilings!$S$4*($F33-14)),IF($F33&lt;15,Ceilings!$S$6*$F33,Ceilings!$S$6*14+Ceilings!$S$7*($F33-14))))))</f>
        <v/>
      </c>
      <c r="O33" s="185" t="str">
        <f>IF(OR(ISBLANK(D33),ISBLANK(H33),ISBLANK(K33),ISBLANK(L33)),"",IF(L33="0–9 km",0,IF(I33&lt;15,Ceilings!$S$3*I33,Ceilings!$S$3*14+Ceilings!$S$4*(I33-14))))</f>
        <v/>
      </c>
      <c r="P33" s="183" t="str">
        <f t="shared" si="0"/>
        <v/>
      </c>
      <c r="Q33" s="436"/>
      <c r="R33" s="266" t="str">
        <f>IF(OR(ISBLANK($D33),ISBLANK($K33),ISBLANK(Q33)),"",Ceilings!$V$3*Q33)</f>
        <v/>
      </c>
      <c r="S33" s="72" t="str">
        <f t="shared" si="1"/>
        <v/>
      </c>
    </row>
    <row r="34" spans="1:19" ht="15.75" customHeight="1">
      <c r="A34" s="506"/>
      <c r="B34" s="51" t="str">
        <f>IF(ISBLANK(A34),"",VLOOKUP(A34,Management!$A$11:$C$25,2,0))</f>
        <v/>
      </c>
      <c r="C34" s="455"/>
      <c r="D34" s="421"/>
      <c r="E34" s="456"/>
      <c r="F34" s="434"/>
      <c r="G34" s="95" t="str">
        <f t="shared" si="2"/>
        <v/>
      </c>
      <c r="H34" s="435"/>
      <c r="I34" s="434"/>
      <c r="J34" s="95" t="str">
        <f t="shared" si="3"/>
        <v/>
      </c>
      <c r="K34" s="81"/>
      <c r="L34" s="362"/>
      <c r="M34" s="256" t="str">
        <f t="shared" si="4"/>
        <v/>
      </c>
      <c r="N34" s="184" t="str">
        <f>IF(OR(ISBLANK($D34),ISBLANK($K34),ISBLANK($L34)),"",IF($L34="0–9 km",0,IF(LEFT($D34,18)="Long-term teaching",VLOOKUP($K34,Subsistence,2,0)*14+VLOOKUP($K34,Subsistence,3,0)*46+VLOOKUP($K34,Subsistence,4,0)*($F34-60),IF(LEFT($D34,18)="Short-term joint s",IF($F34&lt;15,Ceilings!$S$3*$F34,Ceilings!$S$3*14+Ceilings!$S$4*($F34-14)),IF($F34&lt;15,Ceilings!$S$6*$F34,Ceilings!$S$6*14+Ceilings!$S$7*($F34-14))))))</f>
        <v/>
      </c>
      <c r="O34" s="185" t="str">
        <f>IF(OR(ISBLANK(D34),ISBLANK(H34),ISBLANK(K34),ISBLANK(L34)),"",IF(L34="0–9 km",0,IF(I34&lt;15,Ceilings!$S$3*I34,Ceilings!$S$3*14+Ceilings!$S$4*(I34-14))))</f>
        <v/>
      </c>
      <c r="P34" s="183" t="str">
        <f t="shared" si="0"/>
        <v/>
      </c>
      <c r="Q34" s="436"/>
      <c r="R34" s="266" t="str">
        <f>IF(OR(ISBLANK($D34),ISBLANK($K34),ISBLANK(Q34)),"",Ceilings!$V$3*Q34)</f>
        <v/>
      </c>
      <c r="S34" s="72" t="str">
        <f t="shared" si="1"/>
        <v/>
      </c>
    </row>
    <row r="35" spans="1:19" ht="15.75" customHeight="1">
      <c r="A35" s="506"/>
      <c r="B35" s="51" t="str">
        <f>IF(ISBLANK(A35),"",VLOOKUP(A35,Management!$A$11:$C$25,2,0))</f>
        <v/>
      </c>
      <c r="C35" s="455"/>
      <c r="D35" s="421"/>
      <c r="E35" s="456"/>
      <c r="F35" s="434"/>
      <c r="G35" s="95" t="str">
        <f t="shared" si="2"/>
        <v/>
      </c>
      <c r="H35" s="435"/>
      <c r="I35" s="434"/>
      <c r="J35" s="95" t="str">
        <f t="shared" si="3"/>
        <v/>
      </c>
      <c r="K35" s="81"/>
      <c r="L35" s="362"/>
      <c r="M35" s="256" t="str">
        <f t="shared" si="4"/>
        <v/>
      </c>
      <c r="N35" s="184" t="str">
        <f>IF(OR(ISBLANK($D35),ISBLANK($K35),ISBLANK($L35)),"",IF($L35="0–9 km",0,IF(LEFT($D35,18)="Long-term teaching",VLOOKUP($K35,Subsistence,2,0)*14+VLOOKUP($K35,Subsistence,3,0)*46+VLOOKUP($K35,Subsistence,4,0)*($F35-60),IF(LEFT($D35,18)="Short-term joint s",IF($F35&lt;15,Ceilings!$S$3*$F35,Ceilings!$S$3*14+Ceilings!$S$4*($F35-14)),IF($F35&lt;15,Ceilings!$S$6*$F35,Ceilings!$S$6*14+Ceilings!$S$7*($F35-14))))))</f>
        <v/>
      </c>
      <c r="O35" s="185" t="str">
        <f>IF(OR(ISBLANK(D35),ISBLANK(H35),ISBLANK(K35),ISBLANK(L35)),"",IF(L35="0–9 km",0,IF(I35&lt;15,Ceilings!$S$3*I35,Ceilings!$S$3*14+Ceilings!$S$4*(I35-14))))</f>
        <v/>
      </c>
      <c r="P35" s="183" t="str">
        <f t="shared" si="0"/>
        <v/>
      </c>
      <c r="Q35" s="436"/>
      <c r="R35" s="266" t="str">
        <f>IF(OR(ISBLANK($D35),ISBLANK($K35),ISBLANK(Q35)),"",Ceilings!$V$3*Q35)</f>
        <v/>
      </c>
      <c r="S35" s="72" t="str">
        <f t="shared" si="1"/>
        <v/>
      </c>
    </row>
    <row r="36" spans="1:19" ht="15.75" customHeight="1">
      <c r="A36" s="506"/>
      <c r="B36" s="51" t="str">
        <f>IF(ISBLANK(A36),"",VLOOKUP(A36,Management!$A$11:$C$25,2,0))</f>
        <v/>
      </c>
      <c r="C36" s="455"/>
      <c r="D36" s="421"/>
      <c r="E36" s="456"/>
      <c r="F36" s="434"/>
      <c r="G36" s="95" t="str">
        <f t="shared" si="2"/>
        <v/>
      </c>
      <c r="H36" s="435"/>
      <c r="I36" s="434"/>
      <c r="J36" s="95" t="str">
        <f t="shared" si="3"/>
        <v/>
      </c>
      <c r="K36" s="81"/>
      <c r="L36" s="362"/>
      <c r="M36" s="256" t="str">
        <f t="shared" si="4"/>
        <v/>
      </c>
      <c r="N36" s="184" t="str">
        <f>IF(OR(ISBLANK($D36),ISBLANK($K36),ISBLANK($L36)),"",IF($L36="0–9 km",0,IF(LEFT($D36,18)="Long-term teaching",VLOOKUP($K36,Subsistence,2,0)*14+VLOOKUP($K36,Subsistence,3,0)*46+VLOOKUP($K36,Subsistence,4,0)*($F36-60),IF(LEFT($D36,18)="Short-term joint s",IF($F36&lt;15,Ceilings!$S$3*$F36,Ceilings!$S$3*14+Ceilings!$S$4*($F36-14)),IF($F36&lt;15,Ceilings!$S$6*$F36,Ceilings!$S$6*14+Ceilings!$S$7*($F36-14))))))</f>
        <v/>
      </c>
      <c r="O36" s="185" t="str">
        <f>IF(OR(ISBLANK(D36),ISBLANK(H36),ISBLANK(K36),ISBLANK(L36)),"",IF(L36="0–9 km",0,IF(I36&lt;15,Ceilings!$S$3*I36,Ceilings!$S$3*14+Ceilings!$S$4*(I36-14))))</f>
        <v/>
      </c>
      <c r="P36" s="183" t="str">
        <f t="shared" si="0"/>
        <v/>
      </c>
      <c r="Q36" s="436"/>
      <c r="R36" s="266" t="str">
        <f>IF(OR(ISBLANK($D36),ISBLANK($K36),ISBLANK(Q36)),"",Ceilings!$V$3*Q36)</f>
        <v/>
      </c>
      <c r="S36" s="72" t="str">
        <f t="shared" si="1"/>
        <v/>
      </c>
    </row>
    <row r="37" spans="1:19" ht="15.75" customHeight="1">
      <c r="A37" s="506"/>
      <c r="B37" s="51" t="str">
        <f>IF(ISBLANK(A37),"",VLOOKUP(A37,Management!$A$11:$C$25,2,0))</f>
        <v/>
      </c>
      <c r="C37" s="455"/>
      <c r="D37" s="421"/>
      <c r="E37" s="456"/>
      <c r="F37" s="434"/>
      <c r="G37" s="95" t="str">
        <f t="shared" si="2"/>
        <v/>
      </c>
      <c r="H37" s="435"/>
      <c r="I37" s="434"/>
      <c r="J37" s="95" t="str">
        <f t="shared" si="3"/>
        <v/>
      </c>
      <c r="K37" s="81"/>
      <c r="L37" s="362"/>
      <c r="M37" s="256" t="str">
        <f t="shared" si="4"/>
        <v/>
      </c>
      <c r="N37" s="184" t="str">
        <f>IF(OR(ISBLANK($D37),ISBLANK($K37),ISBLANK($L37)),"",IF($L37="0–9 km",0,IF(LEFT($D37,18)="Long-term teaching",VLOOKUP($K37,Subsistence,2,0)*14+VLOOKUP($K37,Subsistence,3,0)*46+VLOOKUP($K37,Subsistence,4,0)*($F37-60),IF(LEFT($D37,18)="Short-term joint s",IF($F37&lt;15,Ceilings!$S$3*$F37,Ceilings!$S$3*14+Ceilings!$S$4*($F37-14)),IF($F37&lt;15,Ceilings!$S$6*$F37,Ceilings!$S$6*14+Ceilings!$S$7*($F37-14))))))</f>
        <v/>
      </c>
      <c r="O37" s="185" t="str">
        <f>IF(OR(ISBLANK(D37),ISBLANK(H37),ISBLANK(K37),ISBLANK(L37)),"",IF(L37="0–9 km",0,IF(I37&lt;15,Ceilings!$S$3*I37,Ceilings!$S$3*14+Ceilings!$S$4*(I37-14))))</f>
        <v/>
      </c>
      <c r="P37" s="183" t="str">
        <f t="shared" ref="P37:P82" si="5">IF(N37="","",$E37*N37+IF(O37="",0,$H37*O37))</f>
        <v/>
      </c>
      <c r="Q37" s="436"/>
      <c r="R37" s="266" t="str">
        <f>IF(OR(ISBLANK($D37),ISBLANK($K37),ISBLANK(Q37)),"",Ceilings!$V$3*Q37)</f>
        <v/>
      </c>
      <c r="S37" s="72" t="str">
        <f t="shared" si="1"/>
        <v/>
      </c>
    </row>
    <row r="38" spans="1:19" ht="15.75" customHeight="1">
      <c r="A38" s="506"/>
      <c r="B38" s="51" t="str">
        <f>IF(ISBLANK(A38),"",VLOOKUP(A38,Management!$A$11:$C$25,2,0))</f>
        <v/>
      </c>
      <c r="C38" s="455"/>
      <c r="D38" s="421"/>
      <c r="E38" s="456"/>
      <c r="F38" s="434"/>
      <c r="G38" s="95" t="str">
        <f t="shared" si="2"/>
        <v/>
      </c>
      <c r="H38" s="435"/>
      <c r="I38" s="434"/>
      <c r="J38" s="95" t="str">
        <f t="shared" si="3"/>
        <v/>
      </c>
      <c r="K38" s="81"/>
      <c r="L38" s="362"/>
      <c r="M38" s="256" t="str">
        <f t="shared" si="4"/>
        <v/>
      </c>
      <c r="N38" s="184" t="str">
        <f>IF(OR(ISBLANK($D38),ISBLANK($K38),ISBLANK($L38)),"",IF($L38="0–9 km",0,IF(LEFT($D38,18)="Long-term teaching",VLOOKUP($K38,Subsistence,2,0)*14+VLOOKUP($K38,Subsistence,3,0)*46+VLOOKUP($K38,Subsistence,4,0)*($F38-60),IF(LEFT($D38,18)="Short-term joint s",IF($F38&lt;15,Ceilings!$S$3*$F38,Ceilings!$S$3*14+Ceilings!$S$4*($F38-14)),IF($F38&lt;15,Ceilings!$S$6*$F38,Ceilings!$S$6*14+Ceilings!$S$7*($F38-14))))))</f>
        <v/>
      </c>
      <c r="O38" s="185" t="str">
        <f>IF(OR(ISBLANK(D38),ISBLANK(H38),ISBLANK(K38),ISBLANK(L38)),"",IF(L38="0–9 km",0,IF(I38&lt;15,Ceilings!$S$3*I38,Ceilings!$S$3*14+Ceilings!$S$4*(I38-14))))</f>
        <v/>
      </c>
      <c r="P38" s="183" t="str">
        <f t="shared" si="5"/>
        <v/>
      </c>
      <c r="Q38" s="436"/>
      <c r="R38" s="266" t="str">
        <f>IF(OR(ISBLANK($D38),ISBLANK($K38),ISBLANK(Q38)),"",Ceilings!$V$3*Q38)</f>
        <v/>
      </c>
      <c r="S38" s="72" t="str">
        <f t="shared" si="1"/>
        <v/>
      </c>
    </row>
    <row r="39" spans="1:19" ht="15.75" customHeight="1">
      <c r="A39" s="506"/>
      <c r="B39" s="51" t="str">
        <f>IF(ISBLANK(A39),"",VLOOKUP(A39,Management!$A$11:$C$25,2,0))</f>
        <v/>
      </c>
      <c r="C39" s="455"/>
      <c r="D39" s="421"/>
      <c r="E39" s="456"/>
      <c r="F39" s="434"/>
      <c r="G39" s="95" t="str">
        <f t="shared" si="2"/>
        <v/>
      </c>
      <c r="H39" s="435"/>
      <c r="I39" s="434"/>
      <c r="J39" s="95" t="str">
        <f t="shared" si="3"/>
        <v/>
      </c>
      <c r="K39" s="81"/>
      <c r="L39" s="362"/>
      <c r="M39" s="256" t="str">
        <f t="shared" ref="M39:M70" si="6">IF(ISBLANK(L39),"",(E39+H39)*VLOOKUP(L39,TravelGrant,2,0))</f>
        <v/>
      </c>
      <c r="N39" s="184" t="str">
        <f>IF(OR(ISBLANK($D39),ISBLANK($K39),ISBLANK($L39)),"",IF($L39="0–9 km",0,IF(LEFT($D39,18)="Long-term teaching",VLOOKUP($K39,Subsistence,2,0)*14+VLOOKUP($K39,Subsistence,3,0)*46+VLOOKUP($K39,Subsistence,4,0)*($F39-60),IF(LEFT($D39,18)="Short-term joint s",IF($F39&lt;15,Ceilings!$S$3*$F39,Ceilings!$S$3*14+Ceilings!$S$4*($F39-14)),IF($F39&lt;15,Ceilings!$S$6*$F39,Ceilings!$S$6*14+Ceilings!$S$7*($F39-14))))))</f>
        <v/>
      </c>
      <c r="O39" s="185" t="str">
        <f>IF(OR(ISBLANK(D39),ISBLANK(H39),ISBLANK(K39),ISBLANK(L39)),"",IF(L39="0–9 km",0,IF(I39&lt;15,Ceilings!$S$3*I39,Ceilings!$S$3*14+Ceilings!$S$4*(I39-14))))</f>
        <v/>
      </c>
      <c r="P39" s="183" t="str">
        <f t="shared" si="5"/>
        <v/>
      </c>
      <c r="Q39" s="436"/>
      <c r="R39" s="266" t="str">
        <f>IF(OR(ISBLANK($D39),ISBLANK($K39),ISBLANK(Q39)),"",Ceilings!$V$3*Q39)</f>
        <v/>
      </c>
      <c r="S39" s="72" t="str">
        <f t="shared" ref="S39:S70" si="7">IF(ISBLANK($A39),"",IF(OR(ISBLANK($C39),ISBLANK($D39),ISBLANK($E39),ISBLANK($K39)),"Missing data",SUM($M39,$P39,$R39)))</f>
        <v/>
      </c>
    </row>
    <row r="40" spans="1:19" ht="15.75" customHeight="1">
      <c r="A40" s="506"/>
      <c r="B40" s="51" t="str">
        <f>IF(ISBLANK(A40),"",VLOOKUP(A40,Management!$A$11:$C$25,2,0))</f>
        <v/>
      </c>
      <c r="C40" s="455"/>
      <c r="D40" s="421"/>
      <c r="E40" s="456"/>
      <c r="F40" s="434"/>
      <c r="G40" s="95" t="str">
        <f t="shared" si="2"/>
        <v/>
      </c>
      <c r="H40" s="435"/>
      <c r="I40" s="434"/>
      <c r="J40" s="95" t="str">
        <f t="shared" si="3"/>
        <v/>
      </c>
      <c r="K40" s="81"/>
      <c r="L40" s="362"/>
      <c r="M40" s="256" t="str">
        <f t="shared" si="6"/>
        <v/>
      </c>
      <c r="N40" s="184" t="str">
        <f>IF(OR(ISBLANK($D40),ISBLANK($K40),ISBLANK($L40)),"",IF($L40="0–9 km",0,IF(LEFT($D40,18)="Long-term teaching",VLOOKUP($K40,Subsistence,2,0)*14+VLOOKUP($K40,Subsistence,3,0)*46+VLOOKUP($K40,Subsistence,4,0)*($F40-60),IF(LEFT($D40,18)="Short-term joint s",IF($F40&lt;15,Ceilings!$S$3*$F40,Ceilings!$S$3*14+Ceilings!$S$4*($F40-14)),IF($F40&lt;15,Ceilings!$S$6*$F40,Ceilings!$S$6*14+Ceilings!$S$7*($F40-14))))))</f>
        <v/>
      </c>
      <c r="O40" s="185" t="str">
        <f>IF(OR(ISBLANK(D40),ISBLANK(H40),ISBLANK(K40),ISBLANK(L40)),"",IF(L40="0–9 km",0,IF(I40&lt;15,Ceilings!$S$3*I40,Ceilings!$S$3*14+Ceilings!$S$4*(I40-14))))</f>
        <v/>
      </c>
      <c r="P40" s="183" t="str">
        <f t="shared" si="5"/>
        <v/>
      </c>
      <c r="Q40" s="436"/>
      <c r="R40" s="266" t="str">
        <f>IF(OR(ISBLANK($D40),ISBLANK($K40),ISBLANK(Q40)),"",Ceilings!$V$3*Q40)</f>
        <v/>
      </c>
      <c r="S40" s="72" t="str">
        <f t="shared" si="7"/>
        <v/>
      </c>
    </row>
    <row r="41" spans="1:19" ht="15.75" customHeight="1">
      <c r="A41" s="506"/>
      <c r="B41" s="51" t="str">
        <f>IF(ISBLANK(A41),"",VLOOKUP(A41,Management!$A$11:$C$25,2,0))</f>
        <v/>
      </c>
      <c r="C41" s="455"/>
      <c r="D41" s="421"/>
      <c r="E41" s="456"/>
      <c r="F41" s="434"/>
      <c r="G41" s="95" t="str">
        <f t="shared" si="2"/>
        <v/>
      </c>
      <c r="H41" s="435"/>
      <c r="I41" s="434"/>
      <c r="J41" s="95" t="str">
        <f t="shared" si="3"/>
        <v/>
      </c>
      <c r="K41" s="81"/>
      <c r="L41" s="362"/>
      <c r="M41" s="256" t="str">
        <f t="shared" si="6"/>
        <v/>
      </c>
      <c r="N41" s="184" t="str">
        <f>IF(OR(ISBLANK($D41),ISBLANK($K41),ISBLANK($L41)),"",IF($L41="0–9 km",0,IF(LEFT($D41,18)="Long-term teaching",VLOOKUP($K41,Subsistence,2,0)*14+VLOOKUP($K41,Subsistence,3,0)*46+VLOOKUP($K41,Subsistence,4,0)*($F41-60),IF(LEFT($D41,18)="Short-term joint s",IF($F41&lt;15,Ceilings!$S$3*$F41,Ceilings!$S$3*14+Ceilings!$S$4*($F41-14)),IF($F41&lt;15,Ceilings!$S$6*$F41,Ceilings!$S$6*14+Ceilings!$S$7*($F41-14))))))</f>
        <v/>
      </c>
      <c r="O41" s="185" t="str">
        <f>IF(OR(ISBLANK(D41),ISBLANK(H41),ISBLANK(K41),ISBLANK(L41)),"",IF(L41="0–9 km",0,IF(I41&lt;15,Ceilings!$S$3*I41,Ceilings!$S$3*14+Ceilings!$S$4*(I41-14))))</f>
        <v/>
      </c>
      <c r="P41" s="183" t="str">
        <f t="shared" si="5"/>
        <v/>
      </c>
      <c r="Q41" s="436"/>
      <c r="R41" s="266" t="str">
        <f>IF(OR(ISBLANK($D41),ISBLANK($K41),ISBLANK(Q41)),"",Ceilings!$V$3*Q41)</f>
        <v/>
      </c>
      <c r="S41" s="72" t="str">
        <f t="shared" si="7"/>
        <v/>
      </c>
    </row>
    <row r="42" spans="1:19" ht="15.75" customHeight="1">
      <c r="A42" s="506"/>
      <c r="B42" s="51" t="str">
        <f>IF(ISBLANK(A42),"",VLOOKUP(A42,Management!$A$11:$C$25,2,0))</f>
        <v/>
      </c>
      <c r="C42" s="455"/>
      <c r="D42" s="421"/>
      <c r="E42" s="456"/>
      <c r="F42" s="434"/>
      <c r="G42" s="95" t="str">
        <f t="shared" si="2"/>
        <v/>
      </c>
      <c r="H42" s="435"/>
      <c r="I42" s="434"/>
      <c r="J42" s="95" t="str">
        <f t="shared" si="3"/>
        <v/>
      </c>
      <c r="K42" s="81"/>
      <c r="L42" s="362"/>
      <c r="M42" s="256" t="str">
        <f t="shared" si="6"/>
        <v/>
      </c>
      <c r="N42" s="184" t="str">
        <f>IF(OR(ISBLANK($D42),ISBLANK($K42),ISBLANK($L42)),"",IF($L42="0–9 km",0,IF(LEFT($D42,18)="Long-term teaching",VLOOKUP($K42,Subsistence,2,0)*14+VLOOKUP($K42,Subsistence,3,0)*46+VLOOKUP($K42,Subsistence,4,0)*($F42-60),IF(LEFT($D42,18)="Short-term joint s",IF($F42&lt;15,Ceilings!$S$3*$F42,Ceilings!$S$3*14+Ceilings!$S$4*($F42-14)),IF($F42&lt;15,Ceilings!$S$6*$F42,Ceilings!$S$6*14+Ceilings!$S$7*($F42-14))))))</f>
        <v/>
      </c>
      <c r="O42" s="185" t="str">
        <f>IF(OR(ISBLANK(D42),ISBLANK(H42),ISBLANK(K42),ISBLANK(L42)),"",IF(L42="0–9 km",0,IF(I42&lt;15,Ceilings!$S$3*I42,Ceilings!$S$3*14+Ceilings!$S$4*(I42-14))))</f>
        <v/>
      </c>
      <c r="P42" s="183" t="str">
        <f t="shared" si="5"/>
        <v/>
      </c>
      <c r="Q42" s="436"/>
      <c r="R42" s="266" t="str">
        <f>IF(OR(ISBLANK($D42),ISBLANK($K42),ISBLANK(Q42)),"",Ceilings!$V$3*Q42)</f>
        <v/>
      </c>
      <c r="S42" s="72" t="str">
        <f t="shared" si="7"/>
        <v/>
      </c>
    </row>
    <row r="43" spans="1:19" ht="15.75" customHeight="1">
      <c r="A43" s="506"/>
      <c r="B43" s="51" t="str">
        <f>IF(ISBLANK(A43),"",VLOOKUP(A43,Management!$A$11:$C$25,2,0))</f>
        <v/>
      </c>
      <c r="C43" s="455"/>
      <c r="D43" s="421"/>
      <c r="E43" s="456"/>
      <c r="F43" s="434"/>
      <c r="G43" s="95" t="str">
        <f t="shared" si="2"/>
        <v/>
      </c>
      <c r="H43" s="435"/>
      <c r="I43" s="434"/>
      <c r="J43" s="95" t="str">
        <f t="shared" si="3"/>
        <v/>
      </c>
      <c r="K43" s="81"/>
      <c r="L43" s="362"/>
      <c r="M43" s="256" t="str">
        <f t="shared" si="6"/>
        <v/>
      </c>
      <c r="N43" s="184" t="str">
        <f>IF(OR(ISBLANK($D43),ISBLANK($K43),ISBLANK($L43)),"",IF($L43="0–9 km",0,IF(LEFT($D43,18)="Long-term teaching",VLOOKUP($K43,Subsistence,2,0)*14+VLOOKUP($K43,Subsistence,3,0)*46+VLOOKUP($K43,Subsistence,4,0)*($F43-60),IF(LEFT($D43,18)="Short-term joint s",IF($F43&lt;15,Ceilings!$S$3*$F43,Ceilings!$S$3*14+Ceilings!$S$4*($F43-14)),IF($F43&lt;15,Ceilings!$S$6*$F43,Ceilings!$S$6*14+Ceilings!$S$7*($F43-14))))))</f>
        <v/>
      </c>
      <c r="O43" s="185" t="str">
        <f>IF(OR(ISBLANK(D43),ISBLANK(H43),ISBLANK(K43),ISBLANK(L43)),"",IF(L43="0–9 km",0,IF(I43&lt;15,Ceilings!$S$3*I43,Ceilings!$S$3*14+Ceilings!$S$4*(I43-14))))</f>
        <v/>
      </c>
      <c r="P43" s="183" t="str">
        <f t="shared" si="5"/>
        <v/>
      </c>
      <c r="Q43" s="436"/>
      <c r="R43" s="266" t="str">
        <f>IF(OR(ISBLANK($D43),ISBLANK($K43),ISBLANK(Q43)),"",Ceilings!$V$3*Q43)</f>
        <v/>
      </c>
      <c r="S43" s="72" t="str">
        <f t="shared" si="7"/>
        <v/>
      </c>
    </row>
    <row r="44" spans="1:19" ht="15.75" customHeight="1">
      <c r="A44" s="506"/>
      <c r="B44" s="51" t="str">
        <f>IF(ISBLANK(A44),"",VLOOKUP(A44,Management!$A$11:$C$25,2,0))</f>
        <v/>
      </c>
      <c r="C44" s="455"/>
      <c r="D44" s="421"/>
      <c r="E44" s="456"/>
      <c r="F44" s="434"/>
      <c r="G44" s="95" t="str">
        <f t="shared" si="2"/>
        <v/>
      </c>
      <c r="H44" s="435"/>
      <c r="I44" s="434"/>
      <c r="J44" s="95" t="str">
        <f t="shared" si="3"/>
        <v/>
      </c>
      <c r="K44" s="81"/>
      <c r="L44" s="362"/>
      <c r="M44" s="256" t="str">
        <f t="shared" si="6"/>
        <v/>
      </c>
      <c r="N44" s="184" t="str">
        <f>IF(OR(ISBLANK($D44),ISBLANK($K44),ISBLANK($L44)),"",IF($L44="0–9 km",0,IF(LEFT($D44,18)="Long-term teaching",VLOOKUP($K44,Subsistence,2,0)*14+VLOOKUP($K44,Subsistence,3,0)*46+VLOOKUP($K44,Subsistence,4,0)*($F44-60),IF(LEFT($D44,18)="Short-term joint s",IF($F44&lt;15,Ceilings!$S$3*$F44,Ceilings!$S$3*14+Ceilings!$S$4*($F44-14)),IF($F44&lt;15,Ceilings!$S$6*$F44,Ceilings!$S$6*14+Ceilings!$S$7*($F44-14))))))</f>
        <v/>
      </c>
      <c r="O44" s="185" t="str">
        <f>IF(OR(ISBLANK(D44),ISBLANK(H44),ISBLANK(K44),ISBLANK(L44)),"",IF(L44="0–9 km",0,IF(I44&lt;15,Ceilings!$S$3*I44,Ceilings!$S$3*14+Ceilings!$S$4*(I44-14))))</f>
        <v/>
      </c>
      <c r="P44" s="183" t="str">
        <f t="shared" si="5"/>
        <v/>
      </c>
      <c r="Q44" s="436"/>
      <c r="R44" s="266" t="str">
        <f>IF(OR(ISBLANK($D44),ISBLANK($K44),ISBLANK(Q44)),"",Ceilings!$V$3*Q44)</f>
        <v/>
      </c>
      <c r="S44" s="72" t="str">
        <f t="shared" si="7"/>
        <v/>
      </c>
    </row>
    <row r="45" spans="1:19" ht="15.75" customHeight="1">
      <c r="A45" s="506"/>
      <c r="B45" s="51" t="str">
        <f>IF(ISBLANK(A45),"",VLOOKUP(A45,Management!$A$11:$C$25,2,0))</f>
        <v/>
      </c>
      <c r="C45" s="455"/>
      <c r="D45" s="421"/>
      <c r="E45" s="456"/>
      <c r="F45" s="434"/>
      <c r="G45" s="95" t="str">
        <f t="shared" si="2"/>
        <v/>
      </c>
      <c r="H45" s="435"/>
      <c r="I45" s="434"/>
      <c r="J45" s="95" t="str">
        <f t="shared" si="3"/>
        <v/>
      </c>
      <c r="K45" s="81"/>
      <c r="L45" s="362"/>
      <c r="M45" s="256" t="str">
        <f t="shared" si="6"/>
        <v/>
      </c>
      <c r="N45" s="184" t="str">
        <f>IF(OR(ISBLANK($D45),ISBLANK($K45),ISBLANK($L45)),"",IF($L45="0–9 km",0,IF(LEFT($D45,18)="Long-term teaching",VLOOKUP($K45,Subsistence,2,0)*14+VLOOKUP($K45,Subsistence,3,0)*46+VLOOKUP($K45,Subsistence,4,0)*($F45-60),IF(LEFT($D45,18)="Short-term joint s",IF($F45&lt;15,Ceilings!$S$3*$F45,Ceilings!$S$3*14+Ceilings!$S$4*($F45-14)),IF($F45&lt;15,Ceilings!$S$6*$F45,Ceilings!$S$6*14+Ceilings!$S$7*($F45-14))))))</f>
        <v/>
      </c>
      <c r="O45" s="185" t="str">
        <f>IF(OR(ISBLANK(D45),ISBLANK(H45),ISBLANK(K45),ISBLANK(L45)),"",IF(L45="0–9 km",0,IF(I45&lt;15,Ceilings!$S$3*I45,Ceilings!$S$3*14+Ceilings!$S$4*(I45-14))))</f>
        <v/>
      </c>
      <c r="P45" s="183" t="str">
        <f t="shared" si="5"/>
        <v/>
      </c>
      <c r="Q45" s="436"/>
      <c r="R45" s="266" t="str">
        <f>IF(OR(ISBLANK($D45),ISBLANK($K45),ISBLANK(Q45)),"",Ceilings!$V$3*Q45)</f>
        <v/>
      </c>
      <c r="S45" s="72" t="str">
        <f t="shared" si="7"/>
        <v/>
      </c>
    </row>
    <row r="46" spans="1:19" ht="15.75" customHeight="1">
      <c r="A46" s="506"/>
      <c r="B46" s="51" t="str">
        <f>IF(ISBLANK(A46),"",VLOOKUP(A46,Management!$A$11:$C$25,2,0))</f>
        <v/>
      </c>
      <c r="C46" s="455"/>
      <c r="D46" s="421"/>
      <c r="E46" s="456"/>
      <c r="F46" s="434"/>
      <c r="G46" s="95" t="str">
        <f t="shared" si="2"/>
        <v/>
      </c>
      <c r="H46" s="435"/>
      <c r="I46" s="434"/>
      <c r="J46" s="95" t="str">
        <f t="shared" si="3"/>
        <v/>
      </c>
      <c r="K46" s="81"/>
      <c r="L46" s="362"/>
      <c r="M46" s="256" t="str">
        <f t="shared" si="6"/>
        <v/>
      </c>
      <c r="N46" s="184" t="str">
        <f>IF(OR(ISBLANK($D46),ISBLANK($K46),ISBLANK($L46)),"",IF($L46="0–9 km",0,IF(LEFT($D46,18)="Long-term teaching",VLOOKUP($K46,Subsistence,2,0)*14+VLOOKUP($K46,Subsistence,3,0)*46+VLOOKUP($K46,Subsistence,4,0)*($F46-60),IF(LEFT($D46,18)="Short-term joint s",IF($F46&lt;15,Ceilings!$S$3*$F46,Ceilings!$S$3*14+Ceilings!$S$4*($F46-14)),IF($F46&lt;15,Ceilings!$S$6*$F46,Ceilings!$S$6*14+Ceilings!$S$7*($F46-14))))))</f>
        <v/>
      </c>
      <c r="O46" s="185" t="str">
        <f>IF(OR(ISBLANK(D46),ISBLANK(H46),ISBLANK(K46),ISBLANK(L46)),"",IF(L46="0–9 km",0,IF(I46&lt;15,Ceilings!$S$3*I46,Ceilings!$S$3*14+Ceilings!$S$4*(I46-14))))</f>
        <v/>
      </c>
      <c r="P46" s="183" t="str">
        <f t="shared" si="5"/>
        <v/>
      </c>
      <c r="Q46" s="436"/>
      <c r="R46" s="266" t="str">
        <f>IF(OR(ISBLANK($D46),ISBLANK($K46),ISBLANK(Q46)),"",Ceilings!$V$3*Q46)</f>
        <v/>
      </c>
      <c r="S46" s="72" t="str">
        <f t="shared" si="7"/>
        <v/>
      </c>
    </row>
    <row r="47" spans="1:19" ht="15.75" customHeight="1">
      <c r="A47" s="506"/>
      <c r="B47" s="51" t="str">
        <f>IF(ISBLANK(A47),"",VLOOKUP(A47,Management!$A$11:$C$25,2,0))</f>
        <v/>
      </c>
      <c r="C47" s="455"/>
      <c r="D47" s="421"/>
      <c r="E47" s="456"/>
      <c r="F47" s="434"/>
      <c r="G47" s="95" t="str">
        <f t="shared" si="2"/>
        <v/>
      </c>
      <c r="H47" s="435"/>
      <c r="I47" s="434"/>
      <c r="J47" s="95" t="str">
        <f t="shared" si="3"/>
        <v/>
      </c>
      <c r="K47" s="81"/>
      <c r="L47" s="362"/>
      <c r="M47" s="256" t="str">
        <f t="shared" si="6"/>
        <v/>
      </c>
      <c r="N47" s="184" t="str">
        <f>IF(OR(ISBLANK($D47),ISBLANK($K47),ISBLANK($L47)),"",IF($L47="0–9 km",0,IF(LEFT($D47,18)="Long-term teaching",VLOOKUP($K47,Subsistence,2,0)*14+VLOOKUP($K47,Subsistence,3,0)*46+VLOOKUP($K47,Subsistence,4,0)*($F47-60),IF(LEFT($D47,18)="Short-term joint s",IF($F47&lt;15,Ceilings!$S$3*$F47,Ceilings!$S$3*14+Ceilings!$S$4*($F47-14)),IF($F47&lt;15,Ceilings!$S$6*$F47,Ceilings!$S$6*14+Ceilings!$S$7*($F47-14))))))</f>
        <v/>
      </c>
      <c r="O47" s="185" t="str">
        <f>IF(OR(ISBLANK(D47),ISBLANK(H47),ISBLANK(K47),ISBLANK(L47)),"",IF(L47="0–9 km",0,IF(I47&lt;15,Ceilings!$S$3*I47,Ceilings!$S$3*14+Ceilings!$S$4*(I47-14))))</f>
        <v/>
      </c>
      <c r="P47" s="183" t="str">
        <f t="shared" si="5"/>
        <v/>
      </c>
      <c r="Q47" s="436"/>
      <c r="R47" s="266" t="str">
        <f>IF(OR(ISBLANK($D47),ISBLANK($K47),ISBLANK(Q47)),"",Ceilings!$V$3*Q47)</f>
        <v/>
      </c>
      <c r="S47" s="72" t="str">
        <f t="shared" si="7"/>
        <v/>
      </c>
    </row>
    <row r="48" spans="1:19" ht="15.75" customHeight="1">
      <c r="A48" s="506"/>
      <c r="B48" s="51" t="str">
        <f>IF(ISBLANK(A48),"",VLOOKUP(A48,Management!$A$11:$C$25,2,0))</f>
        <v/>
      </c>
      <c r="C48" s="455"/>
      <c r="D48" s="421"/>
      <c r="E48" s="456"/>
      <c r="F48" s="434"/>
      <c r="G48" s="95" t="str">
        <f t="shared" si="2"/>
        <v/>
      </c>
      <c r="H48" s="435"/>
      <c r="I48" s="434"/>
      <c r="J48" s="95" t="str">
        <f t="shared" si="3"/>
        <v/>
      </c>
      <c r="K48" s="81"/>
      <c r="L48" s="362"/>
      <c r="M48" s="256" t="str">
        <f t="shared" si="6"/>
        <v/>
      </c>
      <c r="N48" s="184" t="str">
        <f>IF(OR(ISBLANK($D48),ISBLANK($K48),ISBLANK($L48)),"",IF($L48="0–9 km",0,IF(LEFT($D48,18)="Long-term teaching",VLOOKUP($K48,Subsistence,2,0)*14+VLOOKUP($K48,Subsistence,3,0)*46+VLOOKUP($K48,Subsistence,4,0)*($F48-60),IF(LEFT($D48,18)="Short-term joint s",IF($F48&lt;15,Ceilings!$S$3*$F48,Ceilings!$S$3*14+Ceilings!$S$4*($F48-14)),IF($F48&lt;15,Ceilings!$S$6*$F48,Ceilings!$S$6*14+Ceilings!$S$7*($F48-14))))))</f>
        <v/>
      </c>
      <c r="O48" s="185" t="str">
        <f>IF(OR(ISBLANK(D48),ISBLANK(H48),ISBLANK(K48),ISBLANK(L48)),"",IF(L48="0–9 km",0,IF(I48&lt;15,Ceilings!$S$3*I48,Ceilings!$S$3*14+Ceilings!$S$4*(I48-14))))</f>
        <v/>
      </c>
      <c r="P48" s="183" t="str">
        <f t="shared" si="5"/>
        <v/>
      </c>
      <c r="Q48" s="436"/>
      <c r="R48" s="266" t="str">
        <f>IF(OR(ISBLANK($D48),ISBLANK($K48),ISBLANK(Q48)),"",Ceilings!$V$3*Q48)</f>
        <v/>
      </c>
      <c r="S48" s="72" t="str">
        <f t="shared" si="7"/>
        <v/>
      </c>
    </row>
    <row r="49" spans="1:19" ht="15.75" customHeight="1">
      <c r="A49" s="506"/>
      <c r="B49" s="51" t="str">
        <f>IF(ISBLANK(A49),"",VLOOKUP(A49,Management!$A$11:$C$25,2,0))</f>
        <v/>
      </c>
      <c r="C49" s="455"/>
      <c r="D49" s="421"/>
      <c r="E49" s="456"/>
      <c r="F49" s="434"/>
      <c r="G49" s="95" t="str">
        <f t="shared" si="2"/>
        <v/>
      </c>
      <c r="H49" s="435"/>
      <c r="I49" s="434"/>
      <c r="J49" s="95" t="str">
        <f t="shared" si="3"/>
        <v/>
      </c>
      <c r="K49" s="81"/>
      <c r="L49" s="362"/>
      <c r="M49" s="256" t="str">
        <f t="shared" si="6"/>
        <v/>
      </c>
      <c r="N49" s="184" t="str">
        <f>IF(OR(ISBLANK($D49),ISBLANK($K49),ISBLANK($L49)),"",IF($L49="0–9 km",0,IF(LEFT($D49,18)="Long-term teaching",VLOOKUP($K49,Subsistence,2,0)*14+VLOOKUP($K49,Subsistence,3,0)*46+VLOOKUP($K49,Subsistence,4,0)*($F49-60),IF(LEFT($D49,18)="Short-term joint s",IF($F49&lt;15,Ceilings!$S$3*$F49,Ceilings!$S$3*14+Ceilings!$S$4*($F49-14)),IF($F49&lt;15,Ceilings!$S$6*$F49,Ceilings!$S$6*14+Ceilings!$S$7*($F49-14))))))</f>
        <v/>
      </c>
      <c r="O49" s="185" t="str">
        <f>IF(OR(ISBLANK(D49),ISBLANK(H49),ISBLANK(K49),ISBLANK(L49)),"",IF(L49="0–9 km",0,IF(I49&lt;15,Ceilings!$S$3*I49,Ceilings!$S$3*14+Ceilings!$S$4*(I49-14))))</f>
        <v/>
      </c>
      <c r="P49" s="183" t="str">
        <f t="shared" si="5"/>
        <v/>
      </c>
      <c r="Q49" s="436"/>
      <c r="R49" s="266" t="str">
        <f>IF(OR(ISBLANK($D49),ISBLANK($K49),ISBLANK(Q49)),"",Ceilings!$V$3*Q49)</f>
        <v/>
      </c>
      <c r="S49" s="72" t="str">
        <f t="shared" si="7"/>
        <v/>
      </c>
    </row>
    <row r="50" spans="1:19" ht="15.75" customHeight="1">
      <c r="A50" s="506"/>
      <c r="B50" s="51" t="str">
        <f>IF(ISBLANK(A50),"",VLOOKUP(A50,Management!$A$11:$C$25,2,0))</f>
        <v/>
      </c>
      <c r="C50" s="455"/>
      <c r="D50" s="421"/>
      <c r="E50" s="456"/>
      <c r="F50" s="434"/>
      <c r="G50" s="95" t="str">
        <f t="shared" si="2"/>
        <v/>
      </c>
      <c r="H50" s="435"/>
      <c r="I50" s="434"/>
      <c r="J50" s="95" t="str">
        <f t="shared" si="3"/>
        <v/>
      </c>
      <c r="K50" s="81"/>
      <c r="L50" s="362"/>
      <c r="M50" s="256" t="str">
        <f t="shared" si="6"/>
        <v/>
      </c>
      <c r="N50" s="184" t="str">
        <f>IF(OR(ISBLANK($D50),ISBLANK($K50),ISBLANK($L50)),"",IF($L50="0–9 km",0,IF(LEFT($D50,18)="Long-term teaching",VLOOKUP($K50,Subsistence,2,0)*14+VLOOKUP($K50,Subsistence,3,0)*46+VLOOKUP($K50,Subsistence,4,0)*($F50-60),IF(LEFT($D50,18)="Short-term joint s",IF($F50&lt;15,Ceilings!$S$3*$F50,Ceilings!$S$3*14+Ceilings!$S$4*($F50-14)),IF($F50&lt;15,Ceilings!$S$6*$F50,Ceilings!$S$6*14+Ceilings!$S$7*($F50-14))))))</f>
        <v/>
      </c>
      <c r="O50" s="185" t="str">
        <f>IF(OR(ISBLANK(D50),ISBLANK(H50),ISBLANK(K50),ISBLANK(L50)),"",IF(L50="0–9 km",0,IF(I50&lt;15,Ceilings!$S$3*I50,Ceilings!$S$3*14+Ceilings!$S$4*(I50-14))))</f>
        <v/>
      </c>
      <c r="P50" s="183" t="str">
        <f t="shared" si="5"/>
        <v/>
      </c>
      <c r="Q50" s="436"/>
      <c r="R50" s="266" t="str">
        <f>IF(OR(ISBLANK($D50),ISBLANK($K50),ISBLANK(Q50)),"",Ceilings!$V$3*Q50)</f>
        <v/>
      </c>
      <c r="S50" s="72" t="str">
        <f t="shared" si="7"/>
        <v/>
      </c>
    </row>
    <row r="51" spans="1:19" ht="15.75" customHeight="1">
      <c r="A51" s="506"/>
      <c r="B51" s="51" t="str">
        <f>IF(ISBLANK(A51),"",VLOOKUP(A51,Management!$A$11:$C$25,2,0))</f>
        <v/>
      </c>
      <c r="C51" s="455"/>
      <c r="D51" s="421"/>
      <c r="E51" s="456"/>
      <c r="F51" s="434"/>
      <c r="G51" s="95" t="str">
        <f t="shared" si="2"/>
        <v/>
      </c>
      <c r="H51" s="435"/>
      <c r="I51" s="434"/>
      <c r="J51" s="95" t="str">
        <f t="shared" si="3"/>
        <v/>
      </c>
      <c r="K51" s="81"/>
      <c r="L51" s="362"/>
      <c r="M51" s="256" t="str">
        <f t="shared" si="6"/>
        <v/>
      </c>
      <c r="N51" s="184" t="str">
        <f>IF(OR(ISBLANK($D51),ISBLANK($K51),ISBLANK($L51)),"",IF($L51="0–9 km",0,IF(LEFT($D51,18)="Long-term teaching",VLOOKUP($K51,Subsistence,2,0)*14+VLOOKUP($K51,Subsistence,3,0)*46+VLOOKUP($K51,Subsistence,4,0)*($F51-60),IF(LEFT($D51,18)="Short-term joint s",IF($F51&lt;15,Ceilings!$S$3*$F51,Ceilings!$S$3*14+Ceilings!$S$4*($F51-14)),IF($F51&lt;15,Ceilings!$S$6*$F51,Ceilings!$S$6*14+Ceilings!$S$7*($F51-14))))))</f>
        <v/>
      </c>
      <c r="O51" s="185" t="str">
        <f>IF(OR(ISBLANK(D51),ISBLANK(H51),ISBLANK(K51),ISBLANK(L51)),"",IF(L51="0–9 km",0,IF(I51&lt;15,Ceilings!$S$3*I51,Ceilings!$S$3*14+Ceilings!$S$4*(I51-14))))</f>
        <v/>
      </c>
      <c r="P51" s="183" t="str">
        <f t="shared" si="5"/>
        <v/>
      </c>
      <c r="Q51" s="436"/>
      <c r="R51" s="266" t="str">
        <f>IF(OR(ISBLANK($D51),ISBLANK($K51),ISBLANK(Q51)),"",Ceilings!$V$3*Q51)</f>
        <v/>
      </c>
      <c r="S51" s="72" t="str">
        <f t="shared" si="7"/>
        <v/>
      </c>
    </row>
    <row r="52" spans="1:19" ht="15.75" customHeight="1">
      <c r="A52" s="506"/>
      <c r="B52" s="51" t="str">
        <f>IF(ISBLANK(A52),"",VLOOKUP(A52,Management!$A$11:$C$25,2,0))</f>
        <v/>
      </c>
      <c r="C52" s="455"/>
      <c r="D52" s="421"/>
      <c r="E52" s="456"/>
      <c r="F52" s="434"/>
      <c r="G52" s="95" t="str">
        <f t="shared" si="2"/>
        <v/>
      </c>
      <c r="H52" s="435"/>
      <c r="I52" s="434"/>
      <c r="J52" s="95" t="str">
        <f t="shared" si="3"/>
        <v/>
      </c>
      <c r="K52" s="81"/>
      <c r="L52" s="362"/>
      <c r="M52" s="256" t="str">
        <f t="shared" si="6"/>
        <v/>
      </c>
      <c r="N52" s="184" t="str">
        <f>IF(OR(ISBLANK($D52),ISBLANK($K52),ISBLANK($L52)),"",IF($L52="0–9 km",0,IF(LEFT($D52,18)="Long-term teaching",VLOOKUP($K52,Subsistence,2,0)*14+VLOOKUP($K52,Subsistence,3,0)*46+VLOOKUP($K52,Subsistence,4,0)*($F52-60),IF(LEFT($D52,18)="Short-term joint s",IF($F52&lt;15,Ceilings!$S$3*$F52,Ceilings!$S$3*14+Ceilings!$S$4*($F52-14)),IF($F52&lt;15,Ceilings!$S$6*$F52,Ceilings!$S$6*14+Ceilings!$S$7*($F52-14))))))</f>
        <v/>
      </c>
      <c r="O52" s="185" t="str">
        <f>IF(OR(ISBLANK(D52),ISBLANK(H52),ISBLANK(K52),ISBLANK(L52)),"",IF(L52="0–9 km",0,IF(I52&lt;15,Ceilings!$S$3*I52,Ceilings!$S$3*14+Ceilings!$S$4*(I52-14))))</f>
        <v/>
      </c>
      <c r="P52" s="183" t="str">
        <f t="shared" si="5"/>
        <v/>
      </c>
      <c r="Q52" s="436"/>
      <c r="R52" s="266" t="str">
        <f>IF(OR(ISBLANK($D52),ISBLANK($K52),ISBLANK(Q52)),"",Ceilings!$V$3*Q52)</f>
        <v/>
      </c>
      <c r="S52" s="72" t="str">
        <f t="shared" si="7"/>
        <v/>
      </c>
    </row>
    <row r="53" spans="1:19" ht="15.75" customHeight="1">
      <c r="A53" s="506"/>
      <c r="B53" s="51" t="str">
        <f>IF(ISBLANK(A53),"",VLOOKUP(A53,Management!$A$11:$C$25,2,0))</f>
        <v/>
      </c>
      <c r="C53" s="455"/>
      <c r="D53" s="421"/>
      <c r="E53" s="456"/>
      <c r="F53" s="434"/>
      <c r="G53" s="95" t="str">
        <f t="shared" si="2"/>
        <v/>
      </c>
      <c r="H53" s="435"/>
      <c r="I53" s="434"/>
      <c r="J53" s="95" t="str">
        <f t="shared" si="3"/>
        <v/>
      </c>
      <c r="K53" s="81"/>
      <c r="L53" s="362"/>
      <c r="M53" s="256" t="str">
        <f t="shared" si="6"/>
        <v/>
      </c>
      <c r="N53" s="184" t="str">
        <f>IF(OR(ISBLANK($D53),ISBLANK($K53),ISBLANK($L53)),"",IF($L53="0–9 km",0,IF(LEFT($D53,18)="Long-term teaching",VLOOKUP($K53,Subsistence,2,0)*14+VLOOKUP($K53,Subsistence,3,0)*46+VLOOKUP($K53,Subsistence,4,0)*($F53-60),IF(LEFT($D53,18)="Short-term joint s",IF($F53&lt;15,Ceilings!$S$3*$F53,Ceilings!$S$3*14+Ceilings!$S$4*($F53-14)),IF($F53&lt;15,Ceilings!$S$6*$F53,Ceilings!$S$6*14+Ceilings!$S$7*($F53-14))))))</f>
        <v/>
      </c>
      <c r="O53" s="185" t="str">
        <f>IF(OR(ISBLANK(D53),ISBLANK(H53),ISBLANK(K53),ISBLANK(L53)),"",IF(L53="0–9 km",0,IF(I53&lt;15,Ceilings!$S$3*I53,Ceilings!$S$3*14+Ceilings!$S$4*(I53-14))))</f>
        <v/>
      </c>
      <c r="P53" s="183" t="str">
        <f t="shared" si="5"/>
        <v/>
      </c>
      <c r="Q53" s="436"/>
      <c r="R53" s="266" t="str">
        <f>IF(OR(ISBLANK($D53),ISBLANK($K53),ISBLANK(Q53)),"",Ceilings!$V$3*Q53)</f>
        <v/>
      </c>
      <c r="S53" s="72" t="str">
        <f t="shared" si="7"/>
        <v/>
      </c>
    </row>
    <row r="54" spans="1:19" ht="15.75" customHeight="1">
      <c r="A54" s="506"/>
      <c r="B54" s="51" t="str">
        <f>IF(ISBLANK(A54),"",VLOOKUP(A54,Management!$A$11:$C$25,2,0))</f>
        <v/>
      </c>
      <c r="C54" s="455"/>
      <c r="D54" s="421"/>
      <c r="E54" s="456"/>
      <c r="F54" s="434"/>
      <c r="G54" s="95" t="str">
        <f t="shared" si="2"/>
        <v/>
      </c>
      <c r="H54" s="435"/>
      <c r="I54" s="434"/>
      <c r="J54" s="95" t="str">
        <f t="shared" si="3"/>
        <v/>
      </c>
      <c r="K54" s="81"/>
      <c r="L54" s="362"/>
      <c r="M54" s="256" t="str">
        <f t="shared" si="6"/>
        <v/>
      </c>
      <c r="N54" s="184" t="str">
        <f>IF(OR(ISBLANK($D54),ISBLANK($K54),ISBLANK($L54)),"",IF($L54="0–9 km",0,IF(LEFT($D54,18)="Long-term teaching",VLOOKUP($K54,Subsistence,2,0)*14+VLOOKUP($K54,Subsistence,3,0)*46+VLOOKUP($K54,Subsistence,4,0)*($F54-60),IF(LEFT($D54,18)="Short-term joint s",IF($F54&lt;15,Ceilings!$S$3*$F54,Ceilings!$S$3*14+Ceilings!$S$4*($F54-14)),IF($F54&lt;15,Ceilings!$S$6*$F54,Ceilings!$S$6*14+Ceilings!$S$7*($F54-14))))))</f>
        <v/>
      </c>
      <c r="O54" s="185" t="str">
        <f>IF(OR(ISBLANK(D54),ISBLANK(H54),ISBLANK(K54),ISBLANK(L54)),"",IF(L54="0–9 km",0,IF(I54&lt;15,Ceilings!$S$3*I54,Ceilings!$S$3*14+Ceilings!$S$4*(I54-14))))</f>
        <v/>
      </c>
      <c r="P54" s="183" t="str">
        <f t="shared" si="5"/>
        <v/>
      </c>
      <c r="Q54" s="436"/>
      <c r="R54" s="266" t="str">
        <f>IF(OR(ISBLANK($D54),ISBLANK($K54),ISBLANK(Q54)),"",Ceilings!$V$3*Q54)</f>
        <v/>
      </c>
      <c r="S54" s="72" t="str">
        <f t="shared" si="7"/>
        <v/>
      </c>
    </row>
    <row r="55" spans="1:19" ht="15.75" customHeight="1">
      <c r="A55" s="506"/>
      <c r="B55" s="51" t="str">
        <f>IF(ISBLANK(A55),"",VLOOKUP(A55,Management!$A$11:$C$25,2,0))</f>
        <v/>
      </c>
      <c r="C55" s="455"/>
      <c r="D55" s="421"/>
      <c r="E55" s="456"/>
      <c r="F55" s="434"/>
      <c r="G55" s="95" t="str">
        <f t="shared" si="2"/>
        <v/>
      </c>
      <c r="H55" s="435"/>
      <c r="I55" s="434"/>
      <c r="J55" s="95" t="str">
        <f t="shared" si="3"/>
        <v/>
      </c>
      <c r="K55" s="81"/>
      <c r="L55" s="362"/>
      <c r="M55" s="256" t="str">
        <f t="shared" si="6"/>
        <v/>
      </c>
      <c r="N55" s="184" t="str">
        <f>IF(OR(ISBLANK($D55),ISBLANK($K55),ISBLANK($L55)),"",IF($L55="0–9 km",0,IF(LEFT($D55,18)="Long-term teaching",VLOOKUP($K55,Subsistence,2,0)*14+VLOOKUP($K55,Subsistence,3,0)*46+VLOOKUP($K55,Subsistence,4,0)*($F55-60),IF(LEFT($D55,18)="Short-term joint s",IF($F55&lt;15,Ceilings!$S$3*$F55,Ceilings!$S$3*14+Ceilings!$S$4*($F55-14)),IF($F55&lt;15,Ceilings!$S$6*$F55,Ceilings!$S$6*14+Ceilings!$S$7*($F55-14))))))</f>
        <v/>
      </c>
      <c r="O55" s="185" t="str">
        <f>IF(OR(ISBLANK(D55),ISBLANK(H55),ISBLANK(K55),ISBLANK(L55)),"",IF(L55="0–9 km",0,IF(I55&lt;15,Ceilings!$S$3*I55,Ceilings!$S$3*14+Ceilings!$S$4*(I55-14))))</f>
        <v/>
      </c>
      <c r="P55" s="183" t="str">
        <f t="shared" si="5"/>
        <v/>
      </c>
      <c r="Q55" s="436"/>
      <c r="R55" s="266" t="str">
        <f>IF(OR(ISBLANK($D55),ISBLANK($K55),ISBLANK(Q55)),"",Ceilings!$V$3*Q55)</f>
        <v/>
      </c>
      <c r="S55" s="72" t="str">
        <f t="shared" si="7"/>
        <v/>
      </c>
    </row>
    <row r="56" spans="1:19" ht="15.75" customHeight="1">
      <c r="A56" s="506"/>
      <c r="B56" s="51" t="str">
        <f>IF(ISBLANK(A56),"",VLOOKUP(A56,Management!$A$11:$C$25,2,0))</f>
        <v/>
      </c>
      <c r="C56" s="455"/>
      <c r="D56" s="421"/>
      <c r="E56" s="456"/>
      <c r="F56" s="434"/>
      <c r="G56" s="95" t="str">
        <f t="shared" si="2"/>
        <v/>
      </c>
      <c r="H56" s="435"/>
      <c r="I56" s="434"/>
      <c r="J56" s="95" t="str">
        <f t="shared" si="3"/>
        <v/>
      </c>
      <c r="K56" s="81"/>
      <c r="L56" s="362"/>
      <c r="M56" s="256" t="str">
        <f t="shared" si="6"/>
        <v/>
      </c>
      <c r="N56" s="184" t="str">
        <f>IF(OR(ISBLANK($D56),ISBLANK($K56),ISBLANK($L56)),"",IF($L56="0–9 km",0,IF(LEFT($D56,18)="Long-term teaching",VLOOKUP($K56,Subsistence,2,0)*14+VLOOKUP($K56,Subsistence,3,0)*46+VLOOKUP($K56,Subsistence,4,0)*($F56-60),IF(LEFT($D56,18)="Short-term joint s",IF($F56&lt;15,Ceilings!$S$3*$F56,Ceilings!$S$3*14+Ceilings!$S$4*($F56-14)),IF($F56&lt;15,Ceilings!$S$6*$F56,Ceilings!$S$6*14+Ceilings!$S$7*($F56-14))))))</f>
        <v/>
      </c>
      <c r="O56" s="185" t="str">
        <f>IF(OR(ISBLANK(D56),ISBLANK(H56),ISBLANK(K56),ISBLANK(L56)),"",IF(L56="0–9 km",0,IF(I56&lt;15,Ceilings!$S$3*I56,Ceilings!$S$3*14+Ceilings!$S$4*(I56-14))))</f>
        <v/>
      </c>
      <c r="P56" s="183" t="str">
        <f t="shared" si="5"/>
        <v/>
      </c>
      <c r="Q56" s="436"/>
      <c r="R56" s="266" t="str">
        <f>IF(OR(ISBLANK($D56),ISBLANK($K56),ISBLANK(Q56)),"",Ceilings!$V$3*Q56)</f>
        <v/>
      </c>
      <c r="S56" s="72" t="str">
        <f t="shared" si="7"/>
        <v/>
      </c>
    </row>
    <row r="57" spans="1:19" ht="15.75" customHeight="1">
      <c r="A57" s="506"/>
      <c r="B57" s="51" t="str">
        <f>IF(ISBLANK(A57),"",VLOOKUP(A57,Management!$A$11:$C$25,2,0))</f>
        <v/>
      </c>
      <c r="C57" s="455"/>
      <c r="D57" s="421"/>
      <c r="E57" s="456"/>
      <c r="F57" s="434"/>
      <c r="G57" s="95" t="str">
        <f t="shared" si="2"/>
        <v/>
      </c>
      <c r="H57" s="435"/>
      <c r="I57" s="434"/>
      <c r="J57" s="95" t="str">
        <f t="shared" si="3"/>
        <v/>
      </c>
      <c r="K57" s="81"/>
      <c r="L57" s="362"/>
      <c r="M57" s="256" t="str">
        <f t="shared" si="6"/>
        <v/>
      </c>
      <c r="N57" s="184" t="str">
        <f>IF(OR(ISBLANK($D57),ISBLANK($K57),ISBLANK($L57)),"",IF($L57="0–9 km",0,IF(LEFT($D57,18)="Long-term teaching",VLOOKUP($K57,Subsistence,2,0)*14+VLOOKUP($K57,Subsistence,3,0)*46+VLOOKUP($K57,Subsistence,4,0)*($F57-60),IF(LEFT($D57,18)="Short-term joint s",IF($F57&lt;15,Ceilings!$S$3*$F57,Ceilings!$S$3*14+Ceilings!$S$4*($F57-14)),IF($F57&lt;15,Ceilings!$S$6*$F57,Ceilings!$S$6*14+Ceilings!$S$7*($F57-14))))))</f>
        <v/>
      </c>
      <c r="O57" s="185" t="str">
        <f>IF(OR(ISBLANK(D57),ISBLANK(H57),ISBLANK(K57),ISBLANK(L57)),"",IF(L57="0–9 km",0,IF(I57&lt;15,Ceilings!$S$3*I57,Ceilings!$S$3*14+Ceilings!$S$4*(I57-14))))</f>
        <v/>
      </c>
      <c r="P57" s="183" t="str">
        <f t="shared" si="5"/>
        <v/>
      </c>
      <c r="Q57" s="436"/>
      <c r="R57" s="266" t="str">
        <f>IF(OR(ISBLANK($D57),ISBLANK($K57),ISBLANK(Q57)),"",Ceilings!$V$3*Q57)</f>
        <v/>
      </c>
      <c r="S57" s="72" t="str">
        <f t="shared" si="7"/>
        <v/>
      </c>
    </row>
    <row r="58" spans="1:19" ht="15.75" customHeight="1">
      <c r="A58" s="506"/>
      <c r="B58" s="51" t="str">
        <f>IF(ISBLANK(A58),"",VLOOKUP(A58,Management!$A$11:$C$25,2,0))</f>
        <v/>
      </c>
      <c r="C58" s="455"/>
      <c r="D58" s="421"/>
      <c r="E58" s="456"/>
      <c r="F58" s="434"/>
      <c r="G58" s="95" t="str">
        <f t="shared" si="2"/>
        <v/>
      </c>
      <c r="H58" s="435"/>
      <c r="I58" s="434"/>
      <c r="J58" s="95" t="str">
        <f t="shared" si="3"/>
        <v/>
      </c>
      <c r="K58" s="81"/>
      <c r="L58" s="362"/>
      <c r="M58" s="256" t="str">
        <f t="shared" si="6"/>
        <v/>
      </c>
      <c r="N58" s="184" t="str">
        <f>IF(OR(ISBLANK($D58),ISBLANK($K58),ISBLANK($L58)),"",IF($L58="0–9 km",0,IF(LEFT($D58,18)="Long-term teaching",VLOOKUP($K58,Subsistence,2,0)*14+VLOOKUP($K58,Subsistence,3,0)*46+VLOOKUP($K58,Subsistence,4,0)*($F58-60),IF(LEFT($D58,18)="Short-term joint s",IF($F58&lt;15,Ceilings!$S$3*$F58,Ceilings!$S$3*14+Ceilings!$S$4*($F58-14)),IF($F58&lt;15,Ceilings!$S$6*$F58,Ceilings!$S$6*14+Ceilings!$S$7*($F58-14))))))</f>
        <v/>
      </c>
      <c r="O58" s="185" t="str">
        <f>IF(OR(ISBLANK(D58),ISBLANK(H58),ISBLANK(K58),ISBLANK(L58)),"",IF(L58="0–9 km",0,IF(I58&lt;15,Ceilings!$S$3*I58,Ceilings!$S$3*14+Ceilings!$S$4*(I58-14))))</f>
        <v/>
      </c>
      <c r="P58" s="183" t="str">
        <f t="shared" si="5"/>
        <v/>
      </c>
      <c r="Q58" s="436"/>
      <c r="R58" s="266" t="str">
        <f>IF(OR(ISBLANK($D58),ISBLANK($K58),ISBLANK(Q58)),"",Ceilings!$V$3*Q58)</f>
        <v/>
      </c>
      <c r="S58" s="72" t="str">
        <f t="shared" si="7"/>
        <v/>
      </c>
    </row>
    <row r="59" spans="1:19" ht="15.75" customHeight="1">
      <c r="A59" s="506"/>
      <c r="B59" s="51" t="str">
        <f>IF(ISBLANK(A59),"",VLOOKUP(A59,Management!$A$11:$C$25,2,0))</f>
        <v/>
      </c>
      <c r="C59" s="455"/>
      <c r="D59" s="421"/>
      <c r="E59" s="456"/>
      <c r="F59" s="434"/>
      <c r="G59" s="95" t="str">
        <f t="shared" si="2"/>
        <v/>
      </c>
      <c r="H59" s="435"/>
      <c r="I59" s="434"/>
      <c r="J59" s="95" t="str">
        <f t="shared" si="3"/>
        <v/>
      </c>
      <c r="K59" s="81"/>
      <c r="L59" s="362"/>
      <c r="M59" s="256" t="str">
        <f t="shared" si="6"/>
        <v/>
      </c>
      <c r="N59" s="184" t="str">
        <f>IF(OR(ISBLANK($D59),ISBLANK($K59),ISBLANK($L59)),"",IF($L59="0–9 km",0,IF(LEFT($D59,18)="Long-term teaching",VLOOKUP($K59,Subsistence,2,0)*14+VLOOKUP($K59,Subsistence,3,0)*46+VLOOKUP($K59,Subsistence,4,0)*($F59-60),IF(LEFT($D59,18)="Short-term joint s",IF($F59&lt;15,Ceilings!$S$3*$F59,Ceilings!$S$3*14+Ceilings!$S$4*($F59-14)),IF($F59&lt;15,Ceilings!$S$6*$F59,Ceilings!$S$6*14+Ceilings!$S$7*($F59-14))))))</f>
        <v/>
      </c>
      <c r="O59" s="185" t="str">
        <f>IF(OR(ISBLANK(D59),ISBLANK(H59),ISBLANK(K59),ISBLANK(L59)),"",IF(L59="0–9 km",0,IF(I59&lt;15,Ceilings!$S$3*I59,Ceilings!$S$3*14+Ceilings!$S$4*(I59-14))))</f>
        <v/>
      </c>
      <c r="P59" s="183" t="str">
        <f t="shared" si="5"/>
        <v/>
      </c>
      <c r="Q59" s="436"/>
      <c r="R59" s="266" t="str">
        <f>IF(OR(ISBLANK($D59),ISBLANK($K59),ISBLANK(Q59)),"",Ceilings!$V$3*Q59)</f>
        <v/>
      </c>
      <c r="S59" s="72" t="str">
        <f t="shared" si="7"/>
        <v/>
      </c>
    </row>
    <row r="60" spans="1:19" ht="15.75" customHeight="1">
      <c r="A60" s="506"/>
      <c r="B60" s="51" t="str">
        <f>IF(ISBLANK(A60),"",VLOOKUP(A60,Management!$A$11:$C$25,2,0))</f>
        <v/>
      </c>
      <c r="C60" s="455"/>
      <c r="D60" s="421"/>
      <c r="E60" s="456"/>
      <c r="F60" s="434"/>
      <c r="G60" s="95" t="str">
        <f t="shared" si="2"/>
        <v/>
      </c>
      <c r="H60" s="435"/>
      <c r="I60" s="434"/>
      <c r="J60" s="95" t="str">
        <f t="shared" si="3"/>
        <v/>
      </c>
      <c r="K60" s="81"/>
      <c r="L60" s="362"/>
      <c r="M60" s="256" t="str">
        <f t="shared" si="6"/>
        <v/>
      </c>
      <c r="N60" s="184" t="str">
        <f>IF(OR(ISBLANK($D60),ISBLANK($K60),ISBLANK($L60)),"",IF($L60="0–9 km",0,IF(LEFT($D60,18)="Long-term teaching",VLOOKUP($K60,Subsistence,2,0)*14+VLOOKUP($K60,Subsistence,3,0)*46+VLOOKUP($K60,Subsistence,4,0)*($F60-60),IF(LEFT($D60,18)="Short-term joint s",IF($F60&lt;15,Ceilings!$S$3*$F60,Ceilings!$S$3*14+Ceilings!$S$4*($F60-14)),IF($F60&lt;15,Ceilings!$S$6*$F60,Ceilings!$S$6*14+Ceilings!$S$7*($F60-14))))))</f>
        <v/>
      </c>
      <c r="O60" s="185" t="str">
        <f>IF(OR(ISBLANK(D60),ISBLANK(H60),ISBLANK(K60),ISBLANK(L60)),"",IF(L60="0–9 km",0,IF(I60&lt;15,Ceilings!$S$3*I60,Ceilings!$S$3*14+Ceilings!$S$4*(I60-14))))</f>
        <v/>
      </c>
      <c r="P60" s="183" t="str">
        <f t="shared" si="5"/>
        <v/>
      </c>
      <c r="Q60" s="436"/>
      <c r="R60" s="266" t="str">
        <f>IF(OR(ISBLANK($D60),ISBLANK($K60),ISBLANK(Q60)),"",Ceilings!$V$3*Q60)</f>
        <v/>
      </c>
      <c r="S60" s="72" t="str">
        <f t="shared" si="7"/>
        <v/>
      </c>
    </row>
    <row r="61" spans="1:19" ht="15.75" customHeight="1">
      <c r="A61" s="506"/>
      <c r="B61" s="51" t="str">
        <f>IF(ISBLANK(A61),"",VLOOKUP(A61,Management!$A$11:$C$25,2,0))</f>
        <v/>
      </c>
      <c r="C61" s="455"/>
      <c r="D61" s="421"/>
      <c r="E61" s="456"/>
      <c r="F61" s="434"/>
      <c r="G61" s="95" t="str">
        <f t="shared" si="2"/>
        <v/>
      </c>
      <c r="H61" s="435"/>
      <c r="I61" s="434"/>
      <c r="J61" s="95" t="str">
        <f t="shared" si="3"/>
        <v/>
      </c>
      <c r="K61" s="81"/>
      <c r="L61" s="362"/>
      <c r="M61" s="256" t="str">
        <f t="shared" si="6"/>
        <v/>
      </c>
      <c r="N61" s="184" t="str">
        <f>IF(OR(ISBLANK($D61),ISBLANK($K61),ISBLANK($L61)),"",IF($L61="0–9 km",0,IF(LEFT($D61,18)="Long-term teaching",VLOOKUP($K61,Subsistence,2,0)*14+VLOOKUP($K61,Subsistence,3,0)*46+VLOOKUP($K61,Subsistence,4,0)*($F61-60),IF(LEFT($D61,18)="Short-term joint s",IF($F61&lt;15,Ceilings!$S$3*$F61,Ceilings!$S$3*14+Ceilings!$S$4*($F61-14)),IF($F61&lt;15,Ceilings!$S$6*$F61,Ceilings!$S$6*14+Ceilings!$S$7*($F61-14))))))</f>
        <v/>
      </c>
      <c r="O61" s="185" t="str">
        <f>IF(OR(ISBLANK(D61),ISBLANK(H61),ISBLANK(K61),ISBLANK(L61)),"",IF(L61="0–9 km",0,IF(I61&lt;15,Ceilings!$S$3*I61,Ceilings!$S$3*14+Ceilings!$S$4*(I61-14))))</f>
        <v/>
      </c>
      <c r="P61" s="183" t="str">
        <f t="shared" si="5"/>
        <v/>
      </c>
      <c r="Q61" s="436"/>
      <c r="R61" s="266" t="str">
        <f>IF(OR(ISBLANK($D61),ISBLANK($K61),ISBLANK(Q61)),"",Ceilings!$V$3*Q61)</f>
        <v/>
      </c>
      <c r="S61" s="72" t="str">
        <f t="shared" si="7"/>
        <v/>
      </c>
    </row>
    <row r="62" spans="1:19" ht="15.75" customHeight="1">
      <c r="A62" s="506"/>
      <c r="B62" s="51" t="str">
        <f>IF(ISBLANK(A62),"",VLOOKUP(A62,Management!$A$11:$C$25,2,0))</f>
        <v/>
      </c>
      <c r="C62" s="455"/>
      <c r="D62" s="421"/>
      <c r="E62" s="456"/>
      <c r="F62" s="434"/>
      <c r="G62" s="95" t="str">
        <f t="shared" si="2"/>
        <v/>
      </c>
      <c r="H62" s="435"/>
      <c r="I62" s="434"/>
      <c r="J62" s="95" t="str">
        <f t="shared" si="3"/>
        <v/>
      </c>
      <c r="K62" s="81"/>
      <c r="L62" s="362"/>
      <c r="M62" s="256" t="str">
        <f t="shared" si="6"/>
        <v/>
      </c>
      <c r="N62" s="184" t="str">
        <f>IF(OR(ISBLANK($D62),ISBLANK($K62),ISBLANK($L62)),"",IF($L62="0–9 km",0,IF(LEFT($D62,18)="Long-term teaching",VLOOKUP($K62,Subsistence,2,0)*14+VLOOKUP($K62,Subsistence,3,0)*46+VLOOKUP($K62,Subsistence,4,0)*($F62-60),IF(LEFT($D62,18)="Short-term joint s",IF($F62&lt;15,Ceilings!$S$3*$F62,Ceilings!$S$3*14+Ceilings!$S$4*($F62-14)),IF($F62&lt;15,Ceilings!$S$6*$F62,Ceilings!$S$6*14+Ceilings!$S$7*($F62-14))))))</f>
        <v/>
      </c>
      <c r="O62" s="185" t="str">
        <f>IF(OR(ISBLANK(D62),ISBLANK(H62),ISBLANK(K62),ISBLANK(L62)),"",IF(L62="0–9 km",0,IF(I62&lt;15,Ceilings!$S$3*I62,Ceilings!$S$3*14+Ceilings!$S$4*(I62-14))))</f>
        <v/>
      </c>
      <c r="P62" s="183" t="str">
        <f t="shared" si="5"/>
        <v/>
      </c>
      <c r="Q62" s="436"/>
      <c r="R62" s="266" t="str">
        <f>IF(OR(ISBLANK($D62),ISBLANK($K62),ISBLANK(Q62)),"",Ceilings!$V$3*Q62)</f>
        <v/>
      </c>
      <c r="S62" s="72" t="str">
        <f t="shared" si="7"/>
        <v/>
      </c>
    </row>
    <row r="63" spans="1:19" ht="15.75" customHeight="1">
      <c r="A63" s="506"/>
      <c r="B63" s="51" t="str">
        <f>IF(ISBLANK(A63),"",VLOOKUP(A63,Management!$A$11:$C$25,2,0))</f>
        <v/>
      </c>
      <c r="C63" s="455"/>
      <c r="D63" s="421"/>
      <c r="E63" s="456"/>
      <c r="F63" s="434"/>
      <c r="G63" s="95" t="str">
        <f t="shared" si="2"/>
        <v/>
      </c>
      <c r="H63" s="435"/>
      <c r="I63" s="434"/>
      <c r="J63" s="95" t="str">
        <f t="shared" si="3"/>
        <v/>
      </c>
      <c r="K63" s="81"/>
      <c r="L63" s="362"/>
      <c r="M63" s="256" t="str">
        <f t="shared" si="6"/>
        <v/>
      </c>
      <c r="N63" s="184" t="str">
        <f>IF(OR(ISBLANK($D63),ISBLANK($K63),ISBLANK($L63)),"",IF($L63="0–9 km",0,IF(LEFT($D63,18)="Long-term teaching",VLOOKUP($K63,Subsistence,2,0)*14+VLOOKUP($K63,Subsistence,3,0)*46+VLOOKUP($K63,Subsistence,4,0)*($F63-60),IF(LEFT($D63,18)="Short-term joint s",IF($F63&lt;15,Ceilings!$S$3*$F63,Ceilings!$S$3*14+Ceilings!$S$4*($F63-14)),IF($F63&lt;15,Ceilings!$S$6*$F63,Ceilings!$S$6*14+Ceilings!$S$7*($F63-14))))))</f>
        <v/>
      </c>
      <c r="O63" s="185" t="str">
        <f>IF(OR(ISBLANK(D63),ISBLANK(H63),ISBLANK(K63),ISBLANK(L63)),"",IF(L63="0–9 km",0,IF(I63&lt;15,Ceilings!$S$3*I63,Ceilings!$S$3*14+Ceilings!$S$4*(I63-14))))</f>
        <v/>
      </c>
      <c r="P63" s="183" t="str">
        <f t="shared" si="5"/>
        <v/>
      </c>
      <c r="Q63" s="436"/>
      <c r="R63" s="266" t="str">
        <f>IF(OR(ISBLANK($D63),ISBLANK($K63),ISBLANK(Q63)),"",Ceilings!$V$3*Q63)</f>
        <v/>
      </c>
      <c r="S63" s="72" t="str">
        <f t="shared" si="7"/>
        <v/>
      </c>
    </row>
    <row r="64" spans="1:19" ht="15.75" customHeight="1">
      <c r="A64" s="506"/>
      <c r="B64" s="51" t="str">
        <f>IF(ISBLANK(A64),"",VLOOKUP(A64,Management!$A$11:$C$25,2,0))</f>
        <v/>
      </c>
      <c r="C64" s="455"/>
      <c r="D64" s="421"/>
      <c r="E64" s="456"/>
      <c r="F64" s="434"/>
      <c r="G64" s="95" t="str">
        <f t="shared" si="2"/>
        <v/>
      </c>
      <c r="H64" s="435"/>
      <c r="I64" s="434"/>
      <c r="J64" s="95" t="str">
        <f t="shared" si="3"/>
        <v/>
      </c>
      <c r="K64" s="81"/>
      <c r="L64" s="362"/>
      <c r="M64" s="256" t="str">
        <f t="shared" si="6"/>
        <v/>
      </c>
      <c r="N64" s="184" t="str">
        <f>IF(OR(ISBLANK($D64),ISBLANK($K64),ISBLANK($L64)),"",IF($L64="0–9 km",0,IF(LEFT($D64,18)="Long-term teaching",VLOOKUP($K64,Subsistence,2,0)*14+VLOOKUP($K64,Subsistence,3,0)*46+VLOOKUP($K64,Subsistence,4,0)*($F64-60),IF(LEFT($D64,18)="Short-term joint s",IF($F64&lt;15,Ceilings!$S$3*$F64,Ceilings!$S$3*14+Ceilings!$S$4*($F64-14)),IF($F64&lt;15,Ceilings!$S$6*$F64,Ceilings!$S$6*14+Ceilings!$S$7*($F64-14))))))</f>
        <v/>
      </c>
      <c r="O64" s="185" t="str">
        <f>IF(OR(ISBLANK(D64),ISBLANK(H64),ISBLANK(K64),ISBLANK(L64)),"",IF(L64="0–9 km",0,IF(I64&lt;15,Ceilings!$S$3*I64,Ceilings!$S$3*14+Ceilings!$S$4*(I64-14))))</f>
        <v/>
      </c>
      <c r="P64" s="183" t="str">
        <f t="shared" si="5"/>
        <v/>
      </c>
      <c r="Q64" s="436"/>
      <c r="R64" s="266" t="str">
        <f>IF(OR(ISBLANK($D64),ISBLANK($K64),ISBLANK(Q64)),"",Ceilings!$V$3*Q64)</f>
        <v/>
      </c>
      <c r="S64" s="72" t="str">
        <f t="shared" si="7"/>
        <v/>
      </c>
    </row>
    <row r="65" spans="1:19" ht="15.75" customHeight="1">
      <c r="A65" s="506"/>
      <c r="B65" s="51" t="str">
        <f>IF(ISBLANK(A65),"",VLOOKUP(A65,Management!$A$11:$C$25,2,0))</f>
        <v/>
      </c>
      <c r="C65" s="455"/>
      <c r="D65" s="421"/>
      <c r="E65" s="456"/>
      <c r="F65" s="434"/>
      <c r="G65" s="95" t="str">
        <f t="shared" si="2"/>
        <v/>
      </c>
      <c r="H65" s="435"/>
      <c r="I65" s="434"/>
      <c r="J65" s="95" t="str">
        <f t="shared" si="3"/>
        <v/>
      </c>
      <c r="K65" s="81"/>
      <c r="L65" s="362"/>
      <c r="M65" s="256" t="str">
        <f t="shared" si="6"/>
        <v/>
      </c>
      <c r="N65" s="184" t="str">
        <f>IF(OR(ISBLANK($D65),ISBLANK($K65),ISBLANK($L65)),"",IF($L65="0–9 km",0,IF(LEFT($D65,18)="Long-term teaching",VLOOKUP($K65,Subsistence,2,0)*14+VLOOKUP($K65,Subsistence,3,0)*46+VLOOKUP($K65,Subsistence,4,0)*($F65-60),IF(LEFT($D65,18)="Short-term joint s",IF($F65&lt;15,Ceilings!$S$3*$F65,Ceilings!$S$3*14+Ceilings!$S$4*($F65-14)),IF($F65&lt;15,Ceilings!$S$6*$F65,Ceilings!$S$6*14+Ceilings!$S$7*($F65-14))))))</f>
        <v/>
      </c>
      <c r="O65" s="185" t="str">
        <f>IF(OR(ISBLANK(D65),ISBLANK(H65),ISBLANK(K65),ISBLANK(L65)),"",IF(L65="0–9 km",0,IF(I65&lt;15,Ceilings!$S$3*I65,Ceilings!$S$3*14+Ceilings!$S$4*(I65-14))))</f>
        <v/>
      </c>
      <c r="P65" s="183" t="str">
        <f t="shared" si="5"/>
        <v/>
      </c>
      <c r="Q65" s="436"/>
      <c r="R65" s="266" t="str">
        <f>IF(OR(ISBLANK($D65),ISBLANK($K65),ISBLANK(Q65)),"",Ceilings!$V$3*Q65)</f>
        <v/>
      </c>
      <c r="S65" s="72" t="str">
        <f t="shared" si="7"/>
        <v/>
      </c>
    </row>
    <row r="66" spans="1:19" ht="15.75" customHeight="1">
      <c r="A66" s="506"/>
      <c r="B66" s="51" t="str">
        <f>IF(ISBLANK(A66),"",VLOOKUP(A66,Management!$A$11:$C$25,2,0))</f>
        <v/>
      </c>
      <c r="C66" s="455"/>
      <c r="D66" s="421"/>
      <c r="E66" s="456"/>
      <c r="F66" s="434"/>
      <c r="G66" s="95" t="str">
        <f t="shared" si="2"/>
        <v/>
      </c>
      <c r="H66" s="435"/>
      <c r="I66" s="434"/>
      <c r="J66" s="95" t="str">
        <f t="shared" si="3"/>
        <v/>
      </c>
      <c r="K66" s="81"/>
      <c r="L66" s="362"/>
      <c r="M66" s="256" t="str">
        <f t="shared" si="6"/>
        <v/>
      </c>
      <c r="N66" s="184" t="str">
        <f>IF(OR(ISBLANK($D66),ISBLANK($K66),ISBLANK($L66)),"",IF($L66="0–9 km",0,IF(LEFT($D66,18)="Long-term teaching",VLOOKUP($K66,Subsistence,2,0)*14+VLOOKUP($K66,Subsistence,3,0)*46+VLOOKUP($K66,Subsistence,4,0)*($F66-60),IF(LEFT($D66,18)="Short-term joint s",IF($F66&lt;15,Ceilings!$S$3*$F66,Ceilings!$S$3*14+Ceilings!$S$4*($F66-14)),IF($F66&lt;15,Ceilings!$S$6*$F66,Ceilings!$S$6*14+Ceilings!$S$7*($F66-14))))))</f>
        <v/>
      </c>
      <c r="O66" s="185" t="str">
        <f>IF(OR(ISBLANK(D66),ISBLANK(H66),ISBLANK(K66),ISBLANK(L66)),"",IF(L66="0–9 km",0,IF(I66&lt;15,Ceilings!$S$3*I66,Ceilings!$S$3*14+Ceilings!$S$4*(I66-14))))</f>
        <v/>
      </c>
      <c r="P66" s="183" t="str">
        <f t="shared" si="5"/>
        <v/>
      </c>
      <c r="Q66" s="436"/>
      <c r="R66" s="266" t="str">
        <f>IF(OR(ISBLANK($D66),ISBLANK($K66),ISBLANK(Q66)),"",Ceilings!$V$3*Q66)</f>
        <v/>
      </c>
      <c r="S66" s="72" t="str">
        <f t="shared" si="7"/>
        <v/>
      </c>
    </row>
    <row r="67" spans="1:19" ht="15.75" customHeight="1">
      <c r="A67" s="506"/>
      <c r="B67" s="51" t="str">
        <f>IF(ISBLANK(A67),"",VLOOKUP(A67,Management!$A$11:$C$25,2,0))</f>
        <v/>
      </c>
      <c r="C67" s="455"/>
      <c r="D67" s="421"/>
      <c r="E67" s="456"/>
      <c r="F67" s="434"/>
      <c r="G67" s="95" t="str">
        <f t="shared" si="2"/>
        <v/>
      </c>
      <c r="H67" s="435"/>
      <c r="I67" s="434"/>
      <c r="J67" s="95" t="str">
        <f t="shared" si="3"/>
        <v/>
      </c>
      <c r="K67" s="81"/>
      <c r="L67" s="362"/>
      <c r="M67" s="256" t="str">
        <f t="shared" si="6"/>
        <v/>
      </c>
      <c r="N67" s="184" t="str">
        <f>IF(OR(ISBLANK($D67),ISBLANK($K67),ISBLANK($L67)),"",IF($L67="0–9 km",0,IF(LEFT($D67,18)="Long-term teaching",VLOOKUP($K67,Subsistence,2,0)*14+VLOOKUP($K67,Subsistence,3,0)*46+VLOOKUP($K67,Subsistence,4,0)*($F67-60),IF(LEFT($D67,18)="Short-term joint s",IF($F67&lt;15,Ceilings!$S$3*$F67,Ceilings!$S$3*14+Ceilings!$S$4*($F67-14)),IF($F67&lt;15,Ceilings!$S$6*$F67,Ceilings!$S$6*14+Ceilings!$S$7*($F67-14))))))</f>
        <v/>
      </c>
      <c r="O67" s="185" t="str">
        <f>IF(OR(ISBLANK(D67),ISBLANK(H67),ISBLANK(K67),ISBLANK(L67)),"",IF(L67="0–9 km",0,IF(I67&lt;15,Ceilings!$S$3*I67,Ceilings!$S$3*14+Ceilings!$S$4*(I67-14))))</f>
        <v/>
      </c>
      <c r="P67" s="183" t="str">
        <f t="shared" si="5"/>
        <v/>
      </c>
      <c r="Q67" s="436"/>
      <c r="R67" s="266" t="str">
        <f>IF(OR(ISBLANK($D67),ISBLANK($K67),ISBLANK(Q67)),"",Ceilings!$V$3*Q67)</f>
        <v/>
      </c>
      <c r="S67" s="72" t="str">
        <f t="shared" si="7"/>
        <v/>
      </c>
    </row>
    <row r="68" spans="1:19" ht="15.75" customHeight="1">
      <c r="A68" s="506"/>
      <c r="B68" s="51" t="str">
        <f>IF(ISBLANK(A68),"",VLOOKUP(A68,Management!$A$11:$C$25,2,0))</f>
        <v/>
      </c>
      <c r="C68" s="455"/>
      <c r="D68" s="421"/>
      <c r="E68" s="456"/>
      <c r="F68" s="434"/>
      <c r="G68" s="95" t="str">
        <f t="shared" si="2"/>
        <v/>
      </c>
      <c r="H68" s="435"/>
      <c r="I68" s="434"/>
      <c r="J68" s="95" t="str">
        <f t="shared" si="3"/>
        <v/>
      </c>
      <c r="K68" s="81"/>
      <c r="L68" s="362"/>
      <c r="M68" s="256" t="str">
        <f t="shared" si="6"/>
        <v/>
      </c>
      <c r="N68" s="184" t="str">
        <f>IF(OR(ISBLANK($D68),ISBLANK($K68),ISBLANK($L68)),"",IF($L68="0–9 km",0,IF(LEFT($D68,18)="Long-term teaching",VLOOKUP($K68,Subsistence,2,0)*14+VLOOKUP($K68,Subsistence,3,0)*46+VLOOKUP($K68,Subsistence,4,0)*($F68-60),IF(LEFT($D68,18)="Short-term joint s",IF($F68&lt;15,Ceilings!$S$3*$F68,Ceilings!$S$3*14+Ceilings!$S$4*($F68-14)),IF($F68&lt;15,Ceilings!$S$6*$F68,Ceilings!$S$6*14+Ceilings!$S$7*($F68-14))))))</f>
        <v/>
      </c>
      <c r="O68" s="185" t="str">
        <f>IF(OR(ISBLANK(D68),ISBLANK(H68),ISBLANK(K68),ISBLANK(L68)),"",IF(L68="0–9 km",0,IF(I68&lt;15,Ceilings!$S$3*I68,Ceilings!$S$3*14+Ceilings!$S$4*(I68-14))))</f>
        <v/>
      </c>
      <c r="P68" s="183" t="str">
        <f t="shared" si="5"/>
        <v/>
      </c>
      <c r="Q68" s="436"/>
      <c r="R68" s="266" t="str">
        <f>IF(OR(ISBLANK($D68),ISBLANK($K68),ISBLANK(Q68)),"",Ceilings!$V$3*Q68)</f>
        <v/>
      </c>
      <c r="S68" s="72" t="str">
        <f t="shared" si="7"/>
        <v/>
      </c>
    </row>
    <row r="69" spans="1:19" ht="15.75" customHeight="1">
      <c r="A69" s="506"/>
      <c r="B69" s="51" t="str">
        <f>IF(ISBLANK(A69),"",VLOOKUP(A69,Management!$A$11:$C$25,2,0))</f>
        <v/>
      </c>
      <c r="C69" s="455"/>
      <c r="D69" s="421"/>
      <c r="E69" s="456"/>
      <c r="F69" s="434"/>
      <c r="G69" s="95" t="str">
        <f t="shared" si="2"/>
        <v/>
      </c>
      <c r="H69" s="435"/>
      <c r="I69" s="434"/>
      <c r="J69" s="95" t="str">
        <f t="shared" si="3"/>
        <v/>
      </c>
      <c r="K69" s="81"/>
      <c r="L69" s="362"/>
      <c r="M69" s="256" t="str">
        <f t="shared" si="6"/>
        <v/>
      </c>
      <c r="N69" s="184" t="str">
        <f>IF(OR(ISBLANK($D69),ISBLANK($K69),ISBLANK($L69)),"",IF($L69="0–9 km",0,IF(LEFT($D69,18)="Long-term teaching",VLOOKUP($K69,Subsistence,2,0)*14+VLOOKUP($K69,Subsistence,3,0)*46+VLOOKUP($K69,Subsistence,4,0)*($F69-60),IF(LEFT($D69,18)="Short-term joint s",IF($F69&lt;15,Ceilings!$S$3*$F69,Ceilings!$S$3*14+Ceilings!$S$4*($F69-14)),IF($F69&lt;15,Ceilings!$S$6*$F69,Ceilings!$S$6*14+Ceilings!$S$7*($F69-14))))))</f>
        <v/>
      </c>
      <c r="O69" s="185" t="str">
        <f>IF(OR(ISBLANK(D69),ISBLANK(H69),ISBLANK(K69),ISBLANK(L69)),"",IF(L69="0–9 km",0,IF(I69&lt;15,Ceilings!$S$3*I69,Ceilings!$S$3*14+Ceilings!$S$4*(I69-14))))</f>
        <v/>
      </c>
      <c r="P69" s="183" t="str">
        <f t="shared" si="5"/>
        <v/>
      </c>
      <c r="Q69" s="436"/>
      <c r="R69" s="266" t="str">
        <f>IF(OR(ISBLANK($D69),ISBLANK($K69),ISBLANK(Q69)),"",Ceilings!$V$3*Q69)</f>
        <v/>
      </c>
      <c r="S69" s="72" t="str">
        <f t="shared" si="7"/>
        <v/>
      </c>
    </row>
    <row r="70" spans="1:19" ht="15.75" customHeight="1">
      <c r="A70" s="506"/>
      <c r="B70" s="51" t="str">
        <f>IF(ISBLANK(A70),"",VLOOKUP(A70,Management!$A$11:$C$25,2,0))</f>
        <v/>
      </c>
      <c r="C70" s="455"/>
      <c r="D70" s="421"/>
      <c r="E70" s="456"/>
      <c r="F70" s="434"/>
      <c r="G70" s="95" t="str">
        <f t="shared" si="2"/>
        <v/>
      </c>
      <c r="H70" s="435"/>
      <c r="I70" s="434"/>
      <c r="J70" s="95" t="str">
        <f t="shared" si="3"/>
        <v/>
      </c>
      <c r="K70" s="81"/>
      <c r="L70" s="362"/>
      <c r="M70" s="256" t="str">
        <f t="shared" si="6"/>
        <v/>
      </c>
      <c r="N70" s="184" t="str">
        <f>IF(OR(ISBLANK($D70),ISBLANK($K70),ISBLANK($L70)),"",IF($L70="0–9 km",0,IF(LEFT($D70,18)="Long-term teaching",VLOOKUP($K70,Subsistence,2,0)*14+VLOOKUP($K70,Subsistence,3,0)*46+VLOOKUP($K70,Subsistence,4,0)*($F70-60),IF(LEFT($D70,18)="Short-term joint s",IF($F70&lt;15,Ceilings!$S$3*$F70,Ceilings!$S$3*14+Ceilings!$S$4*($F70-14)),IF($F70&lt;15,Ceilings!$S$6*$F70,Ceilings!$S$6*14+Ceilings!$S$7*($F70-14))))))</f>
        <v/>
      </c>
      <c r="O70" s="185" t="str">
        <f>IF(OR(ISBLANK(D70),ISBLANK(H70),ISBLANK(K70),ISBLANK(L70)),"",IF(L70="0–9 km",0,IF(I70&lt;15,Ceilings!$S$3*I70,Ceilings!$S$3*14+Ceilings!$S$4*(I70-14))))</f>
        <v/>
      </c>
      <c r="P70" s="183" t="str">
        <f t="shared" si="5"/>
        <v/>
      </c>
      <c r="Q70" s="436"/>
      <c r="R70" s="266" t="str">
        <f>IF(OR(ISBLANK($D70),ISBLANK($K70),ISBLANK(Q70)),"",Ceilings!$V$3*Q70)</f>
        <v/>
      </c>
      <c r="S70" s="72" t="str">
        <f t="shared" si="7"/>
        <v/>
      </c>
    </row>
    <row r="71" spans="1:19" ht="15.75" customHeight="1">
      <c r="A71" s="506"/>
      <c r="B71" s="51" t="str">
        <f>IF(ISBLANK(A71),"",VLOOKUP(A71,Management!$A$11:$C$25,2,0))</f>
        <v/>
      </c>
      <c r="C71" s="455"/>
      <c r="D71" s="421"/>
      <c r="E71" s="456"/>
      <c r="F71" s="434"/>
      <c r="G71" s="95" t="str">
        <f t="shared" si="2"/>
        <v/>
      </c>
      <c r="H71" s="435"/>
      <c r="I71" s="434"/>
      <c r="J71" s="95" t="str">
        <f t="shared" si="3"/>
        <v/>
      </c>
      <c r="K71" s="81"/>
      <c r="L71" s="362"/>
      <c r="M71" s="256" t="str">
        <f t="shared" ref="M71:M102" si="8">IF(ISBLANK(L71),"",(E71+H71)*VLOOKUP(L71,TravelGrant,2,0))</f>
        <v/>
      </c>
      <c r="N71" s="184" t="str">
        <f>IF(OR(ISBLANK($D71),ISBLANK($K71),ISBLANK($L71)),"",IF($L71="0–9 km",0,IF(LEFT($D71,18)="Long-term teaching",VLOOKUP($K71,Subsistence,2,0)*14+VLOOKUP($K71,Subsistence,3,0)*46+VLOOKUP($K71,Subsistence,4,0)*($F71-60),IF(LEFT($D71,18)="Short-term joint s",IF($F71&lt;15,Ceilings!$S$3*$F71,Ceilings!$S$3*14+Ceilings!$S$4*($F71-14)),IF($F71&lt;15,Ceilings!$S$6*$F71,Ceilings!$S$6*14+Ceilings!$S$7*($F71-14))))))</f>
        <v/>
      </c>
      <c r="O71" s="185" t="str">
        <f>IF(OR(ISBLANK(D71),ISBLANK(H71),ISBLANK(K71),ISBLANK(L71)),"",IF(L71="0–9 km",0,IF(I71&lt;15,Ceilings!$S$3*I71,Ceilings!$S$3*14+Ceilings!$S$4*(I71-14))))</f>
        <v/>
      </c>
      <c r="P71" s="183" t="str">
        <f t="shared" si="5"/>
        <v/>
      </c>
      <c r="Q71" s="436"/>
      <c r="R71" s="266" t="str">
        <f>IF(OR(ISBLANK($D71),ISBLANK($K71),ISBLANK(Q71)),"",Ceilings!$V$3*Q71)</f>
        <v/>
      </c>
      <c r="S71" s="72" t="str">
        <f t="shared" ref="S71:S106" si="9">IF(ISBLANK($A71),"",IF(OR(ISBLANK($C71),ISBLANK($D71),ISBLANK($E71),ISBLANK($K71)),"Missing data",SUM($M71,$P71,$R71)))</f>
        <v/>
      </c>
    </row>
    <row r="72" spans="1:19" ht="15.75" customHeight="1">
      <c r="A72" s="506"/>
      <c r="B72" s="51" t="str">
        <f>IF(ISBLANK(A72),"",VLOOKUP(A72,Management!$A$11:$C$25,2,0))</f>
        <v/>
      </c>
      <c r="C72" s="455"/>
      <c r="D72" s="421"/>
      <c r="E72" s="456"/>
      <c r="F72" s="434"/>
      <c r="G72" s="95" t="str">
        <f t="shared" si="2"/>
        <v/>
      </c>
      <c r="H72" s="435"/>
      <c r="I72" s="434"/>
      <c r="J72" s="95" t="str">
        <f t="shared" si="3"/>
        <v/>
      </c>
      <c r="K72" s="81"/>
      <c r="L72" s="362"/>
      <c r="M72" s="256" t="str">
        <f t="shared" si="8"/>
        <v/>
      </c>
      <c r="N72" s="184" t="str">
        <f>IF(OR(ISBLANK($D72),ISBLANK($K72),ISBLANK($L72)),"",IF($L72="0–9 km",0,IF(LEFT($D72,18)="Long-term teaching",VLOOKUP($K72,Subsistence,2,0)*14+VLOOKUP($K72,Subsistence,3,0)*46+VLOOKUP($K72,Subsistence,4,0)*($F72-60),IF(LEFT($D72,18)="Short-term joint s",IF($F72&lt;15,Ceilings!$S$3*$F72,Ceilings!$S$3*14+Ceilings!$S$4*($F72-14)),IF($F72&lt;15,Ceilings!$S$6*$F72,Ceilings!$S$6*14+Ceilings!$S$7*($F72-14))))))</f>
        <v/>
      </c>
      <c r="O72" s="185" t="str">
        <f>IF(OR(ISBLANK(D72),ISBLANK(H72),ISBLANK(K72),ISBLANK(L72)),"",IF(L72="0–9 km",0,IF(I72&lt;15,Ceilings!$S$3*I72,Ceilings!$S$3*14+Ceilings!$S$4*(I72-14))))</f>
        <v/>
      </c>
      <c r="P72" s="183" t="str">
        <f t="shared" si="5"/>
        <v/>
      </c>
      <c r="Q72" s="436"/>
      <c r="R72" s="266" t="str">
        <f>IF(OR(ISBLANK($D72),ISBLANK($K72),ISBLANK(Q72)),"",Ceilings!$V$3*Q72)</f>
        <v/>
      </c>
      <c r="S72" s="72" t="str">
        <f t="shared" si="9"/>
        <v/>
      </c>
    </row>
    <row r="73" spans="1:19" ht="15.75" customHeight="1">
      <c r="A73" s="506"/>
      <c r="B73" s="51" t="str">
        <f>IF(ISBLANK(A73),"",VLOOKUP(A73,Management!$A$11:$C$25,2,0))</f>
        <v/>
      </c>
      <c r="C73" s="455"/>
      <c r="D73" s="421"/>
      <c r="E73" s="456"/>
      <c r="F73" s="434"/>
      <c r="G73" s="95" t="str">
        <f t="shared" si="2"/>
        <v/>
      </c>
      <c r="H73" s="435"/>
      <c r="I73" s="434"/>
      <c r="J73" s="95" t="str">
        <f t="shared" si="3"/>
        <v/>
      </c>
      <c r="K73" s="81"/>
      <c r="L73" s="362"/>
      <c r="M73" s="256" t="str">
        <f t="shared" si="8"/>
        <v/>
      </c>
      <c r="N73" s="184" t="str">
        <f>IF(OR(ISBLANK($D73),ISBLANK($K73),ISBLANK($L73)),"",IF($L73="0–9 km",0,IF(LEFT($D73,18)="Long-term teaching",VLOOKUP($K73,Subsistence,2,0)*14+VLOOKUP($K73,Subsistence,3,0)*46+VLOOKUP($K73,Subsistence,4,0)*($F73-60),IF(LEFT($D73,18)="Short-term joint s",IF($F73&lt;15,Ceilings!$S$3*$F73,Ceilings!$S$3*14+Ceilings!$S$4*($F73-14)),IF($F73&lt;15,Ceilings!$S$6*$F73,Ceilings!$S$6*14+Ceilings!$S$7*($F73-14))))))</f>
        <v/>
      </c>
      <c r="O73" s="185" t="str">
        <f>IF(OR(ISBLANK(D73),ISBLANK(H73),ISBLANK(K73),ISBLANK(L73)),"",IF(L73="0–9 km",0,IF(I73&lt;15,Ceilings!$S$3*I73,Ceilings!$S$3*14+Ceilings!$S$4*(I73-14))))</f>
        <v/>
      </c>
      <c r="P73" s="183" t="str">
        <f t="shared" si="5"/>
        <v/>
      </c>
      <c r="Q73" s="436"/>
      <c r="R73" s="266" t="str">
        <f>IF(OR(ISBLANK($D73),ISBLANK($K73),ISBLANK(Q73)),"",Ceilings!$V$3*Q73)</f>
        <v/>
      </c>
      <c r="S73" s="72" t="str">
        <f t="shared" si="9"/>
        <v/>
      </c>
    </row>
    <row r="74" spans="1:19" ht="15.75" customHeight="1">
      <c r="A74" s="506"/>
      <c r="B74" s="51" t="str">
        <f>IF(ISBLANK(A74),"",VLOOKUP(A74,Management!$A$11:$C$25,2,0))</f>
        <v/>
      </c>
      <c r="C74" s="455"/>
      <c r="D74" s="421"/>
      <c r="E74" s="456"/>
      <c r="F74" s="434"/>
      <c r="G74" s="95" t="str">
        <f t="shared" si="2"/>
        <v/>
      </c>
      <c r="H74" s="435"/>
      <c r="I74" s="434"/>
      <c r="J74" s="95" t="str">
        <f t="shared" si="3"/>
        <v/>
      </c>
      <c r="K74" s="81"/>
      <c r="L74" s="362"/>
      <c r="M74" s="256" t="str">
        <f t="shared" si="8"/>
        <v/>
      </c>
      <c r="N74" s="184" t="str">
        <f>IF(OR(ISBLANK($D74),ISBLANK($K74),ISBLANK($L74)),"",IF($L74="0–9 km",0,IF(LEFT($D74,18)="Long-term teaching",VLOOKUP($K74,Subsistence,2,0)*14+VLOOKUP($K74,Subsistence,3,0)*46+VLOOKUP($K74,Subsistence,4,0)*($F74-60),IF(LEFT($D74,18)="Short-term joint s",IF($F74&lt;15,Ceilings!$S$3*$F74,Ceilings!$S$3*14+Ceilings!$S$4*($F74-14)),IF($F74&lt;15,Ceilings!$S$6*$F74,Ceilings!$S$6*14+Ceilings!$S$7*($F74-14))))))</f>
        <v/>
      </c>
      <c r="O74" s="185" t="str">
        <f>IF(OR(ISBLANK(D74),ISBLANK(H74),ISBLANK(K74),ISBLANK(L74)),"",IF(L74="0–9 km",0,IF(I74&lt;15,Ceilings!$S$3*I74,Ceilings!$S$3*14+Ceilings!$S$4*(I74-14))))</f>
        <v/>
      </c>
      <c r="P74" s="183" t="str">
        <f t="shared" si="5"/>
        <v/>
      </c>
      <c r="Q74" s="436"/>
      <c r="R74" s="266" t="str">
        <f>IF(OR(ISBLANK($D74),ISBLANK($K74),ISBLANK(Q74)),"",Ceilings!$V$3*Q74)</f>
        <v/>
      </c>
      <c r="S74" s="72" t="str">
        <f t="shared" si="9"/>
        <v/>
      </c>
    </row>
    <row r="75" spans="1:19" ht="15.75" customHeight="1">
      <c r="A75" s="506"/>
      <c r="B75" s="51" t="str">
        <f>IF(ISBLANK(A75),"",VLOOKUP(A75,Management!$A$11:$C$25,2,0))</f>
        <v/>
      </c>
      <c r="C75" s="455"/>
      <c r="D75" s="421"/>
      <c r="E75" s="456"/>
      <c r="F75" s="434"/>
      <c r="G75" s="95" t="str">
        <f t="shared" si="2"/>
        <v/>
      </c>
      <c r="H75" s="435"/>
      <c r="I75" s="434"/>
      <c r="J75" s="95" t="str">
        <f t="shared" si="3"/>
        <v/>
      </c>
      <c r="K75" s="81"/>
      <c r="L75" s="362"/>
      <c r="M75" s="256" t="str">
        <f t="shared" si="8"/>
        <v/>
      </c>
      <c r="N75" s="184" t="str">
        <f>IF(OR(ISBLANK($D75),ISBLANK($K75),ISBLANK($L75)),"",IF($L75="0–9 km",0,IF(LEFT($D75,18)="Long-term teaching",VLOOKUP($K75,Subsistence,2,0)*14+VLOOKUP($K75,Subsistence,3,0)*46+VLOOKUP($K75,Subsistence,4,0)*($F75-60),IF(LEFT($D75,18)="Short-term joint s",IF($F75&lt;15,Ceilings!$S$3*$F75,Ceilings!$S$3*14+Ceilings!$S$4*($F75-14)),IF($F75&lt;15,Ceilings!$S$6*$F75,Ceilings!$S$6*14+Ceilings!$S$7*($F75-14))))))</f>
        <v/>
      </c>
      <c r="O75" s="185" t="str">
        <f>IF(OR(ISBLANK(D75),ISBLANK(H75),ISBLANK(K75),ISBLANK(L75)),"",IF(L75="0–9 km",0,IF(I75&lt;15,Ceilings!$S$3*I75,Ceilings!$S$3*14+Ceilings!$S$4*(I75-14))))</f>
        <v/>
      </c>
      <c r="P75" s="183" t="str">
        <f t="shared" si="5"/>
        <v/>
      </c>
      <c r="Q75" s="436"/>
      <c r="R75" s="266" t="str">
        <f>IF(OR(ISBLANK($D75),ISBLANK($K75),ISBLANK(Q75)),"",Ceilings!$V$3*Q75)</f>
        <v/>
      </c>
      <c r="S75" s="72" t="str">
        <f t="shared" si="9"/>
        <v/>
      </c>
    </row>
    <row r="76" spans="1:19" ht="15.75" customHeight="1">
      <c r="A76" s="506"/>
      <c r="B76" s="51" t="str">
        <f>IF(ISBLANK(A76),"",VLOOKUP(A76,Management!$A$11:$C$25,2,0))</f>
        <v/>
      </c>
      <c r="C76" s="455"/>
      <c r="D76" s="421"/>
      <c r="E76" s="456"/>
      <c r="F76" s="434"/>
      <c r="G76" s="95" t="str">
        <f t="shared" si="2"/>
        <v/>
      </c>
      <c r="H76" s="435"/>
      <c r="I76" s="434"/>
      <c r="J76" s="95" t="str">
        <f t="shared" si="3"/>
        <v/>
      </c>
      <c r="K76" s="81"/>
      <c r="L76" s="362"/>
      <c r="M76" s="256" t="str">
        <f t="shared" si="8"/>
        <v/>
      </c>
      <c r="N76" s="184" t="str">
        <f>IF(OR(ISBLANK($D76),ISBLANK($K76),ISBLANK($L76)),"",IF($L76="0–9 km",0,IF(LEFT($D76,18)="Long-term teaching",VLOOKUP($K76,Subsistence,2,0)*14+VLOOKUP($K76,Subsistence,3,0)*46+VLOOKUP($K76,Subsistence,4,0)*($F76-60),IF(LEFT($D76,18)="Short-term joint s",IF($F76&lt;15,Ceilings!$S$3*$F76,Ceilings!$S$3*14+Ceilings!$S$4*($F76-14)),IF($F76&lt;15,Ceilings!$S$6*$F76,Ceilings!$S$6*14+Ceilings!$S$7*($F76-14))))))</f>
        <v/>
      </c>
      <c r="O76" s="185" t="str">
        <f>IF(OR(ISBLANK(D76),ISBLANK(H76),ISBLANK(K76),ISBLANK(L76)),"",IF(L76="0–9 km",0,IF(I76&lt;15,Ceilings!$S$3*I76,Ceilings!$S$3*14+Ceilings!$S$4*(I76-14))))</f>
        <v/>
      </c>
      <c r="P76" s="183" t="str">
        <f t="shared" si="5"/>
        <v/>
      </c>
      <c r="Q76" s="436"/>
      <c r="R76" s="266" t="str">
        <f>IF(OR(ISBLANK($D76),ISBLANK($K76),ISBLANK(Q76)),"",Ceilings!$V$3*Q76)</f>
        <v/>
      </c>
      <c r="S76" s="72" t="str">
        <f t="shared" si="9"/>
        <v/>
      </c>
    </row>
    <row r="77" spans="1:19" ht="15.75" customHeight="1">
      <c r="A77" s="506"/>
      <c r="B77" s="51" t="str">
        <f>IF(ISBLANK(A77),"",VLOOKUP(A77,Management!$A$11:$C$25,2,0))</f>
        <v/>
      </c>
      <c r="C77" s="455"/>
      <c r="D77" s="421"/>
      <c r="E77" s="456"/>
      <c r="F77" s="434"/>
      <c r="G77" s="95" t="str">
        <f t="shared" si="2"/>
        <v/>
      </c>
      <c r="H77" s="435"/>
      <c r="I77" s="434"/>
      <c r="J77" s="95" t="str">
        <f t="shared" si="3"/>
        <v/>
      </c>
      <c r="K77" s="81"/>
      <c r="L77" s="362"/>
      <c r="M77" s="256" t="str">
        <f t="shared" si="8"/>
        <v/>
      </c>
      <c r="N77" s="184" t="str">
        <f>IF(OR(ISBLANK($D77),ISBLANK($K77),ISBLANK($L77)),"",IF($L77="0–9 km",0,IF(LEFT($D77,18)="Long-term teaching",VLOOKUP($K77,Subsistence,2,0)*14+VLOOKUP($K77,Subsistence,3,0)*46+VLOOKUP($K77,Subsistence,4,0)*($F77-60),IF(LEFT($D77,18)="Short-term joint s",IF($F77&lt;15,Ceilings!$S$3*$F77,Ceilings!$S$3*14+Ceilings!$S$4*($F77-14)),IF($F77&lt;15,Ceilings!$S$6*$F77,Ceilings!$S$6*14+Ceilings!$S$7*($F77-14))))))</f>
        <v/>
      </c>
      <c r="O77" s="185" t="str">
        <f>IF(OR(ISBLANK(D77),ISBLANK(H77),ISBLANK(K77),ISBLANK(L77)),"",IF(L77="0–9 km",0,IF(I77&lt;15,Ceilings!$S$3*I77,Ceilings!$S$3*14+Ceilings!$S$4*(I77-14))))</f>
        <v/>
      </c>
      <c r="P77" s="183" t="str">
        <f t="shared" si="5"/>
        <v/>
      </c>
      <c r="Q77" s="436"/>
      <c r="R77" s="266" t="str">
        <f>IF(OR(ISBLANK($D77),ISBLANK($K77),ISBLANK(Q77)),"",Ceilings!$V$3*Q77)</f>
        <v/>
      </c>
      <c r="S77" s="72" t="str">
        <f t="shared" si="9"/>
        <v/>
      </c>
    </row>
    <row r="78" spans="1:19" ht="15.75" customHeight="1">
      <c r="A78" s="506"/>
      <c r="B78" s="51" t="str">
        <f>IF(ISBLANK(A78),"",VLOOKUP(A78,Management!$A$11:$C$25,2,0))</f>
        <v/>
      </c>
      <c r="C78" s="455"/>
      <c r="D78" s="421"/>
      <c r="E78" s="456"/>
      <c r="F78" s="434"/>
      <c r="G78" s="95" t="str">
        <f t="shared" si="2"/>
        <v/>
      </c>
      <c r="H78" s="435"/>
      <c r="I78" s="434"/>
      <c r="J78" s="95" t="str">
        <f t="shared" si="3"/>
        <v/>
      </c>
      <c r="K78" s="81"/>
      <c r="L78" s="362"/>
      <c r="M78" s="256" t="str">
        <f t="shared" si="8"/>
        <v/>
      </c>
      <c r="N78" s="184" t="str">
        <f>IF(OR(ISBLANK($D78),ISBLANK($K78),ISBLANK($L78)),"",IF($L78="0–9 km",0,IF(LEFT($D78,18)="Long-term teaching",VLOOKUP($K78,Subsistence,2,0)*14+VLOOKUP($K78,Subsistence,3,0)*46+VLOOKUP($K78,Subsistence,4,0)*($F78-60),IF(LEFT($D78,18)="Short-term joint s",IF($F78&lt;15,Ceilings!$S$3*$F78,Ceilings!$S$3*14+Ceilings!$S$4*($F78-14)),IF($F78&lt;15,Ceilings!$S$6*$F78,Ceilings!$S$6*14+Ceilings!$S$7*($F78-14))))))</f>
        <v/>
      </c>
      <c r="O78" s="185" t="str">
        <f>IF(OR(ISBLANK(D78),ISBLANK(H78),ISBLANK(K78),ISBLANK(L78)),"",IF(L78="0–9 km",0,IF(I78&lt;15,Ceilings!$S$3*I78,Ceilings!$S$3*14+Ceilings!$S$4*(I78-14))))</f>
        <v/>
      </c>
      <c r="P78" s="183" t="str">
        <f t="shared" si="5"/>
        <v/>
      </c>
      <c r="Q78" s="436"/>
      <c r="R78" s="266" t="str">
        <f>IF(OR(ISBLANK($D78),ISBLANK($K78),ISBLANK(Q78)),"",Ceilings!$V$3*Q78)</f>
        <v/>
      </c>
      <c r="S78" s="72" t="str">
        <f t="shared" si="9"/>
        <v/>
      </c>
    </row>
    <row r="79" spans="1:19" ht="15.75" customHeight="1">
      <c r="A79" s="506"/>
      <c r="B79" s="51" t="str">
        <f>IF(ISBLANK(A79),"",VLOOKUP(A79,Management!$A$11:$C$25,2,0))</f>
        <v/>
      </c>
      <c r="C79" s="455"/>
      <c r="D79" s="421"/>
      <c r="E79" s="456"/>
      <c r="F79" s="434"/>
      <c r="G79" s="95" t="str">
        <f t="shared" si="2"/>
        <v/>
      </c>
      <c r="H79" s="435"/>
      <c r="I79" s="434"/>
      <c r="J79" s="95" t="str">
        <f t="shared" si="3"/>
        <v/>
      </c>
      <c r="K79" s="81"/>
      <c r="L79" s="362"/>
      <c r="M79" s="256" t="str">
        <f t="shared" si="8"/>
        <v/>
      </c>
      <c r="N79" s="184" t="str">
        <f>IF(OR(ISBLANK($D79),ISBLANK($K79),ISBLANK($L79)),"",IF($L79="0–9 km",0,IF(LEFT($D79,18)="Long-term teaching",VLOOKUP($K79,Subsistence,2,0)*14+VLOOKUP($K79,Subsistence,3,0)*46+VLOOKUP($K79,Subsistence,4,0)*($F79-60),IF(LEFT($D79,18)="Short-term joint s",IF($F79&lt;15,Ceilings!$S$3*$F79,Ceilings!$S$3*14+Ceilings!$S$4*($F79-14)),IF($F79&lt;15,Ceilings!$S$6*$F79,Ceilings!$S$6*14+Ceilings!$S$7*($F79-14))))))</f>
        <v/>
      </c>
      <c r="O79" s="185" t="str">
        <f>IF(OR(ISBLANK(D79),ISBLANK(H79),ISBLANK(K79),ISBLANK(L79)),"",IF(L79="0–9 km",0,IF(I79&lt;15,Ceilings!$S$3*I79,Ceilings!$S$3*14+Ceilings!$S$4*(I79-14))))</f>
        <v/>
      </c>
      <c r="P79" s="183" t="str">
        <f t="shared" si="5"/>
        <v/>
      </c>
      <c r="Q79" s="436"/>
      <c r="R79" s="266" t="str">
        <f>IF(OR(ISBLANK($D79),ISBLANK($K79),ISBLANK(Q79)),"",Ceilings!$V$3*Q79)</f>
        <v/>
      </c>
      <c r="S79" s="72" t="str">
        <f t="shared" si="9"/>
        <v/>
      </c>
    </row>
    <row r="80" spans="1:19" ht="15.75" customHeight="1">
      <c r="A80" s="506"/>
      <c r="B80" s="51" t="str">
        <f>IF(ISBLANK(A80),"",VLOOKUP(A80,Management!$A$11:$C$25,2,0))</f>
        <v/>
      </c>
      <c r="C80" s="455"/>
      <c r="D80" s="421"/>
      <c r="E80" s="456"/>
      <c r="F80" s="434"/>
      <c r="G80" s="95" t="str">
        <f t="shared" si="2"/>
        <v/>
      </c>
      <c r="H80" s="435"/>
      <c r="I80" s="434"/>
      <c r="J80" s="95" t="str">
        <f t="shared" si="3"/>
        <v/>
      </c>
      <c r="K80" s="81"/>
      <c r="L80" s="362"/>
      <c r="M80" s="256" t="str">
        <f t="shared" si="8"/>
        <v/>
      </c>
      <c r="N80" s="184" t="str">
        <f>IF(OR(ISBLANK($D80),ISBLANK($K80),ISBLANK($L80)),"",IF($L80="0–9 km",0,IF(LEFT($D80,18)="Long-term teaching",VLOOKUP($K80,Subsistence,2,0)*14+VLOOKUP($K80,Subsistence,3,0)*46+VLOOKUP($K80,Subsistence,4,0)*($F80-60),IF(LEFT($D80,18)="Short-term joint s",IF($F80&lt;15,Ceilings!$S$3*$F80,Ceilings!$S$3*14+Ceilings!$S$4*($F80-14)),IF($F80&lt;15,Ceilings!$S$6*$F80,Ceilings!$S$6*14+Ceilings!$S$7*($F80-14))))))</f>
        <v/>
      </c>
      <c r="O80" s="185" t="str">
        <f>IF(OR(ISBLANK(D80),ISBLANK(H80),ISBLANK(K80),ISBLANK(L80)),"",IF(L80="0–9 km",0,IF(I80&lt;15,Ceilings!$S$3*I80,Ceilings!$S$3*14+Ceilings!$S$4*(I80-14))))</f>
        <v/>
      </c>
      <c r="P80" s="183" t="str">
        <f t="shared" si="5"/>
        <v/>
      </c>
      <c r="Q80" s="436"/>
      <c r="R80" s="266" t="str">
        <f>IF(OR(ISBLANK($D80),ISBLANK($K80),ISBLANK(Q80)),"",Ceilings!$V$3*Q80)</f>
        <v/>
      </c>
      <c r="S80" s="72" t="str">
        <f t="shared" si="9"/>
        <v/>
      </c>
    </row>
    <row r="81" spans="1:19" ht="15.75" customHeight="1">
      <c r="A81" s="506"/>
      <c r="B81" s="51" t="str">
        <f>IF(ISBLANK(A81),"",VLOOKUP(A81,Management!$A$11:$C$25,2,0))</f>
        <v/>
      </c>
      <c r="C81" s="455"/>
      <c r="D81" s="421"/>
      <c r="E81" s="456"/>
      <c r="F81" s="434"/>
      <c r="G81" s="95" t="str">
        <f t="shared" si="2"/>
        <v/>
      </c>
      <c r="H81" s="435"/>
      <c r="I81" s="434"/>
      <c r="J81" s="95" t="str">
        <f t="shared" si="3"/>
        <v/>
      </c>
      <c r="K81" s="81"/>
      <c r="L81" s="362"/>
      <c r="M81" s="256" t="str">
        <f t="shared" si="8"/>
        <v/>
      </c>
      <c r="N81" s="184" t="str">
        <f>IF(OR(ISBLANK($D81),ISBLANK($K81),ISBLANK($L81)),"",IF($L81="0–9 km",0,IF(LEFT($D81,18)="Long-term teaching",VLOOKUP($K81,Subsistence,2,0)*14+VLOOKUP($K81,Subsistence,3,0)*46+VLOOKUP($K81,Subsistence,4,0)*($F81-60),IF(LEFT($D81,18)="Short-term joint s",IF($F81&lt;15,Ceilings!$S$3*$F81,Ceilings!$S$3*14+Ceilings!$S$4*($F81-14)),IF($F81&lt;15,Ceilings!$S$6*$F81,Ceilings!$S$6*14+Ceilings!$S$7*($F81-14))))))</f>
        <v/>
      </c>
      <c r="O81" s="185" t="str">
        <f>IF(OR(ISBLANK(D81),ISBLANK(H81),ISBLANK(K81),ISBLANK(L81)),"",IF(L81="0–9 km",0,IF(I81&lt;15,Ceilings!$S$3*I81,Ceilings!$S$3*14+Ceilings!$S$4*(I81-14))))</f>
        <v/>
      </c>
      <c r="P81" s="183" t="str">
        <f t="shared" si="5"/>
        <v/>
      </c>
      <c r="Q81" s="436"/>
      <c r="R81" s="266" t="str">
        <f>IF(OR(ISBLANK($D81),ISBLANK($K81),ISBLANK(Q81)),"",Ceilings!$V$3*Q81)</f>
        <v/>
      </c>
      <c r="S81" s="72" t="str">
        <f t="shared" si="9"/>
        <v/>
      </c>
    </row>
    <row r="82" spans="1:19" ht="15.75" customHeight="1">
      <c r="A82" s="506"/>
      <c r="B82" s="51" t="str">
        <f>IF(ISBLANK(A82),"",VLOOKUP(A82,Management!$A$11:$C$25,2,0))</f>
        <v/>
      </c>
      <c r="C82" s="455"/>
      <c r="D82" s="421"/>
      <c r="E82" s="456"/>
      <c r="F82" s="434"/>
      <c r="G82" s="95" t="str">
        <f t="shared" si="2"/>
        <v/>
      </c>
      <c r="H82" s="435"/>
      <c r="I82" s="434"/>
      <c r="J82" s="95" t="str">
        <f t="shared" si="3"/>
        <v/>
      </c>
      <c r="K82" s="81"/>
      <c r="L82" s="362"/>
      <c r="M82" s="256" t="str">
        <f t="shared" si="8"/>
        <v/>
      </c>
      <c r="N82" s="184" t="str">
        <f>IF(OR(ISBLANK($D82),ISBLANK($K82),ISBLANK($L82)),"",IF($L82="0–9 km",0,IF(LEFT($D82,18)="Long-term teaching",VLOOKUP($K82,Subsistence,2,0)*14+VLOOKUP($K82,Subsistence,3,0)*46+VLOOKUP($K82,Subsistence,4,0)*($F82-60),IF(LEFT($D82,18)="Short-term joint s",IF($F82&lt;15,Ceilings!$S$3*$F82,Ceilings!$S$3*14+Ceilings!$S$4*($F82-14)),IF($F82&lt;15,Ceilings!$S$6*$F82,Ceilings!$S$6*14+Ceilings!$S$7*($F82-14))))))</f>
        <v/>
      </c>
      <c r="O82" s="185" t="str">
        <f>IF(OR(ISBLANK(D82),ISBLANK(H82),ISBLANK(K82),ISBLANK(L82)),"",IF(L82="0–9 km",0,IF(I82&lt;15,Ceilings!$S$3*I82,Ceilings!$S$3*14+Ceilings!$S$4*(I82-14))))</f>
        <v/>
      </c>
      <c r="P82" s="183" t="str">
        <f t="shared" si="5"/>
        <v/>
      </c>
      <c r="Q82" s="436"/>
      <c r="R82" s="266" t="str">
        <f>IF(OR(ISBLANK($D82),ISBLANK($K82),ISBLANK(Q82)),"",Ceilings!$V$3*Q82)</f>
        <v/>
      </c>
      <c r="S82" s="72" t="str">
        <f t="shared" si="9"/>
        <v/>
      </c>
    </row>
    <row r="83" spans="1:19" ht="15.75" customHeight="1">
      <c r="A83" s="506"/>
      <c r="B83" s="51" t="str">
        <f>IF(ISBLANK(A83),"",VLOOKUP(A83,Management!$A$11:$C$25,2,0))</f>
        <v/>
      </c>
      <c r="C83" s="455"/>
      <c r="D83" s="421"/>
      <c r="E83" s="456"/>
      <c r="F83" s="434"/>
      <c r="G83" s="95" t="str">
        <f t="shared" si="2"/>
        <v/>
      </c>
      <c r="H83" s="435"/>
      <c r="I83" s="434"/>
      <c r="J83" s="95" t="str">
        <f t="shared" si="3"/>
        <v/>
      </c>
      <c r="K83" s="81"/>
      <c r="L83" s="362"/>
      <c r="M83" s="256" t="str">
        <f t="shared" si="8"/>
        <v/>
      </c>
      <c r="N83" s="184" t="str">
        <f>IF(OR(ISBLANK($D83),ISBLANK($K83),ISBLANK($L83)),"",IF($L83="0–9 km",0,IF(LEFT($D83,18)="Long-term teaching",VLOOKUP($K83,Subsistence,2,0)*14+VLOOKUP($K83,Subsistence,3,0)*46+VLOOKUP($K83,Subsistence,4,0)*($F83-60),IF(LEFT($D83,18)="Short-term joint s",IF($F83&lt;15,Ceilings!$S$3*$F83,Ceilings!$S$3*14+Ceilings!$S$4*($F83-14)),IF($F83&lt;15,Ceilings!$S$6*$F83,Ceilings!$S$6*14+Ceilings!$S$7*($F83-14))))))</f>
        <v/>
      </c>
      <c r="O83" s="185" t="str">
        <f>IF(OR(ISBLANK(D83),ISBLANK(H83),ISBLANK(K83),ISBLANK(L83)),"",IF(L83="0–9 km",0,IF(I83&lt;15,Ceilings!$S$3*I83,Ceilings!$S$3*14+Ceilings!$S$4*(I83-14))))</f>
        <v/>
      </c>
      <c r="P83" s="183" t="str">
        <f t="shared" ref="P83:P105" si="10">IF(N83="","",$E83*N83+IF(O83="",0,$H83*O83))</f>
        <v/>
      </c>
      <c r="Q83" s="436"/>
      <c r="R83" s="266" t="str">
        <f>IF(OR(ISBLANK($D83),ISBLANK($K83),ISBLANK(Q83)),"",Ceilings!$V$3*Q83)</f>
        <v/>
      </c>
      <c r="S83" s="72" t="str">
        <f t="shared" si="9"/>
        <v/>
      </c>
    </row>
    <row r="84" spans="1:19" ht="15.75" customHeight="1">
      <c r="A84" s="506"/>
      <c r="B84" s="51" t="str">
        <f>IF(ISBLANK(A84),"",VLOOKUP(A84,Management!$A$11:$C$25,2,0))</f>
        <v/>
      </c>
      <c r="C84" s="455"/>
      <c r="D84" s="421"/>
      <c r="E84" s="456"/>
      <c r="F84" s="434"/>
      <c r="G84" s="95" t="str">
        <f t="shared" si="2"/>
        <v/>
      </c>
      <c r="H84" s="435"/>
      <c r="I84" s="434"/>
      <c r="J84" s="95" t="str">
        <f t="shared" si="3"/>
        <v/>
      </c>
      <c r="K84" s="81"/>
      <c r="L84" s="362"/>
      <c r="M84" s="256" t="str">
        <f t="shared" si="8"/>
        <v/>
      </c>
      <c r="N84" s="184" t="str">
        <f>IF(OR(ISBLANK($D84),ISBLANK($K84),ISBLANK($L84)),"",IF($L84="0–9 km",0,IF(LEFT($D84,18)="Long-term teaching",VLOOKUP($K84,Subsistence,2,0)*14+VLOOKUP($K84,Subsistence,3,0)*46+VLOOKUP($K84,Subsistence,4,0)*($F84-60),IF(LEFT($D84,18)="Short-term joint s",IF($F84&lt;15,Ceilings!$S$3*$F84,Ceilings!$S$3*14+Ceilings!$S$4*($F84-14)),IF($F84&lt;15,Ceilings!$S$6*$F84,Ceilings!$S$6*14+Ceilings!$S$7*($F84-14))))))</f>
        <v/>
      </c>
      <c r="O84" s="185" t="str">
        <f>IF(OR(ISBLANK(D84),ISBLANK(H84),ISBLANK(K84),ISBLANK(L84)),"",IF(L84="0–9 km",0,IF(I84&lt;15,Ceilings!$S$3*I84,Ceilings!$S$3*14+Ceilings!$S$4*(I84-14))))</f>
        <v/>
      </c>
      <c r="P84" s="183" t="str">
        <f t="shared" si="10"/>
        <v/>
      </c>
      <c r="Q84" s="436"/>
      <c r="R84" s="266" t="str">
        <f>IF(OR(ISBLANK($D84),ISBLANK($K84),ISBLANK(Q84)),"",Ceilings!$V$3*Q84)</f>
        <v/>
      </c>
      <c r="S84" s="72" t="str">
        <f t="shared" si="9"/>
        <v/>
      </c>
    </row>
    <row r="85" spans="1:19" ht="15.75" customHeight="1">
      <c r="A85" s="506"/>
      <c r="B85" s="51" t="str">
        <f>IF(ISBLANK(A85),"",VLOOKUP(A85,Management!$A$11:$C$25,2,0))</f>
        <v/>
      </c>
      <c r="C85" s="455"/>
      <c r="D85" s="421"/>
      <c r="E85" s="456"/>
      <c r="F85" s="434"/>
      <c r="G85" s="95" t="str">
        <f t="shared" si="2"/>
        <v/>
      </c>
      <c r="H85" s="435"/>
      <c r="I85" s="434"/>
      <c r="J85" s="95" t="str">
        <f t="shared" si="3"/>
        <v/>
      </c>
      <c r="K85" s="81"/>
      <c r="L85" s="362"/>
      <c r="M85" s="256" t="str">
        <f t="shared" si="8"/>
        <v/>
      </c>
      <c r="N85" s="184" t="str">
        <f>IF(OR(ISBLANK($D85),ISBLANK($K85),ISBLANK($L85)),"",IF($L85="0–9 km",0,IF(LEFT($D85,18)="Long-term teaching",VLOOKUP($K85,Subsistence,2,0)*14+VLOOKUP($K85,Subsistence,3,0)*46+VLOOKUP($K85,Subsistence,4,0)*($F85-60),IF(LEFT($D85,18)="Short-term joint s",IF($F85&lt;15,Ceilings!$S$3*$F85,Ceilings!$S$3*14+Ceilings!$S$4*($F85-14)),IF($F85&lt;15,Ceilings!$S$6*$F85,Ceilings!$S$6*14+Ceilings!$S$7*($F85-14))))))</f>
        <v/>
      </c>
      <c r="O85" s="185" t="str">
        <f>IF(OR(ISBLANK(D85),ISBLANK(H85),ISBLANK(K85),ISBLANK(L85)),"",IF(L85="0–9 km",0,IF(I85&lt;15,Ceilings!$S$3*I85,Ceilings!$S$3*14+Ceilings!$S$4*(I85-14))))</f>
        <v/>
      </c>
      <c r="P85" s="183" t="str">
        <f t="shared" si="10"/>
        <v/>
      </c>
      <c r="Q85" s="436"/>
      <c r="R85" s="266" t="str">
        <f>IF(OR(ISBLANK($D85),ISBLANK($K85),ISBLANK(Q85)),"",Ceilings!$V$3*Q85)</f>
        <v/>
      </c>
      <c r="S85" s="72" t="str">
        <f t="shared" si="9"/>
        <v/>
      </c>
    </row>
    <row r="86" spans="1:19" ht="15.75" customHeight="1">
      <c r="A86" s="506"/>
      <c r="B86" s="51" t="str">
        <f>IF(ISBLANK(A86),"",VLOOKUP(A86,Management!$A$11:$C$25,2,0))</f>
        <v/>
      </c>
      <c r="C86" s="455"/>
      <c r="D86" s="421"/>
      <c r="E86" s="456"/>
      <c r="F86" s="434"/>
      <c r="G86" s="95" t="str">
        <f t="shared" si="2"/>
        <v/>
      </c>
      <c r="H86" s="435"/>
      <c r="I86" s="434"/>
      <c r="J86" s="95" t="str">
        <f t="shared" si="3"/>
        <v/>
      </c>
      <c r="K86" s="81"/>
      <c r="L86" s="362"/>
      <c r="M86" s="256" t="str">
        <f t="shared" si="8"/>
        <v/>
      </c>
      <c r="N86" s="184" t="str">
        <f>IF(OR(ISBLANK($D86),ISBLANK($K86),ISBLANK($L86)),"",IF($L86="0–9 km",0,IF(LEFT($D86,18)="Long-term teaching",VLOOKUP($K86,Subsistence,2,0)*14+VLOOKUP($K86,Subsistence,3,0)*46+VLOOKUP($K86,Subsistence,4,0)*($F86-60),IF(LEFT($D86,18)="Short-term joint s",IF($F86&lt;15,Ceilings!$S$3*$F86,Ceilings!$S$3*14+Ceilings!$S$4*($F86-14)),IF($F86&lt;15,Ceilings!$S$6*$F86,Ceilings!$S$6*14+Ceilings!$S$7*($F86-14))))))</f>
        <v/>
      </c>
      <c r="O86" s="185" t="str">
        <f>IF(OR(ISBLANK(D86),ISBLANK(H86),ISBLANK(K86),ISBLANK(L86)),"",IF(L86="0–9 km",0,IF(I86&lt;15,Ceilings!$S$3*I86,Ceilings!$S$3*14+Ceilings!$S$4*(I86-14))))</f>
        <v/>
      </c>
      <c r="P86" s="183" t="str">
        <f t="shared" si="10"/>
        <v/>
      </c>
      <c r="Q86" s="436"/>
      <c r="R86" s="266" t="str">
        <f>IF(OR(ISBLANK($D86),ISBLANK($K86),ISBLANK(Q86)),"",Ceilings!$V$3*Q86)</f>
        <v/>
      </c>
      <c r="S86" s="72" t="str">
        <f t="shared" si="9"/>
        <v/>
      </c>
    </row>
    <row r="87" spans="1:19" ht="15.75" customHeight="1">
      <c r="A87" s="506"/>
      <c r="B87" s="51" t="str">
        <f>IF(ISBLANK(A87),"",VLOOKUP(A87,Management!$A$11:$C$25,2,0))</f>
        <v/>
      </c>
      <c r="C87" s="455"/>
      <c r="D87" s="421"/>
      <c r="E87" s="456"/>
      <c r="F87" s="434"/>
      <c r="G87" s="95" t="str">
        <f t="shared" si="2"/>
        <v/>
      </c>
      <c r="H87" s="435"/>
      <c r="I87" s="434"/>
      <c r="J87" s="95" t="str">
        <f t="shared" si="3"/>
        <v/>
      </c>
      <c r="K87" s="81"/>
      <c r="L87" s="362"/>
      <c r="M87" s="256" t="str">
        <f t="shared" si="8"/>
        <v/>
      </c>
      <c r="N87" s="184" t="str">
        <f>IF(OR(ISBLANK($D87),ISBLANK($K87),ISBLANK($L87)),"",IF($L87="0–9 km",0,IF(LEFT($D87,18)="Long-term teaching",VLOOKUP($K87,Subsistence,2,0)*14+VLOOKUP($K87,Subsistence,3,0)*46+VLOOKUP($K87,Subsistence,4,0)*($F87-60),IF(LEFT($D87,18)="Short-term joint s",IF($F87&lt;15,Ceilings!$S$3*$F87,Ceilings!$S$3*14+Ceilings!$S$4*($F87-14)),IF($F87&lt;15,Ceilings!$S$6*$F87,Ceilings!$S$6*14+Ceilings!$S$7*($F87-14))))))</f>
        <v/>
      </c>
      <c r="O87" s="185" t="str">
        <f>IF(OR(ISBLANK(D87),ISBLANK(H87),ISBLANK(K87),ISBLANK(L87)),"",IF(L87="0–9 km",0,IF(I87&lt;15,Ceilings!$S$3*I87,Ceilings!$S$3*14+Ceilings!$S$4*(I87-14))))</f>
        <v/>
      </c>
      <c r="P87" s="183" t="str">
        <f t="shared" si="10"/>
        <v/>
      </c>
      <c r="Q87" s="436"/>
      <c r="R87" s="266" t="str">
        <f>IF(OR(ISBLANK($D87),ISBLANK($K87),ISBLANK(Q87)),"",Ceilings!$V$3*Q87)</f>
        <v/>
      </c>
      <c r="S87" s="72" t="str">
        <f t="shared" si="9"/>
        <v/>
      </c>
    </row>
    <row r="88" spans="1:19" ht="15.75" customHeight="1">
      <c r="A88" s="506"/>
      <c r="B88" s="51" t="str">
        <f>IF(ISBLANK(A88),"",VLOOKUP(A88,Management!$A$11:$C$25,2,0))</f>
        <v/>
      </c>
      <c r="C88" s="455"/>
      <c r="D88" s="421"/>
      <c r="E88" s="456"/>
      <c r="F88" s="434"/>
      <c r="G88" s="95" t="str">
        <f t="shared" si="2"/>
        <v/>
      </c>
      <c r="H88" s="435"/>
      <c r="I88" s="434"/>
      <c r="J88" s="95" t="str">
        <f t="shared" si="3"/>
        <v/>
      </c>
      <c r="K88" s="81"/>
      <c r="L88" s="362"/>
      <c r="M88" s="256" t="str">
        <f t="shared" si="8"/>
        <v/>
      </c>
      <c r="N88" s="184" t="str">
        <f>IF(OR(ISBLANK($D88),ISBLANK($K88),ISBLANK($L88)),"",IF($L88="0–9 km",0,IF(LEFT($D88,18)="Long-term teaching",VLOOKUP($K88,Subsistence,2,0)*14+VLOOKUP($K88,Subsistence,3,0)*46+VLOOKUP($K88,Subsistence,4,0)*($F88-60),IF(LEFT($D88,18)="Short-term joint s",IF($F88&lt;15,Ceilings!$S$3*$F88,Ceilings!$S$3*14+Ceilings!$S$4*($F88-14)),IF($F88&lt;15,Ceilings!$S$6*$F88,Ceilings!$S$6*14+Ceilings!$S$7*($F88-14))))))</f>
        <v/>
      </c>
      <c r="O88" s="185" t="str">
        <f>IF(OR(ISBLANK(D88),ISBLANK(H88),ISBLANK(K88),ISBLANK(L88)),"",IF(L88="0–9 km",0,IF(I88&lt;15,Ceilings!$S$3*I88,Ceilings!$S$3*14+Ceilings!$S$4*(I88-14))))</f>
        <v/>
      </c>
      <c r="P88" s="183" t="str">
        <f t="shared" si="10"/>
        <v/>
      </c>
      <c r="Q88" s="436"/>
      <c r="R88" s="266" t="str">
        <f>IF(OR(ISBLANK($D88),ISBLANK($K88),ISBLANK(Q88)),"",Ceilings!$V$3*Q88)</f>
        <v/>
      </c>
      <c r="S88" s="72" t="str">
        <f t="shared" si="9"/>
        <v/>
      </c>
    </row>
    <row r="89" spans="1:19" ht="15.75" customHeight="1">
      <c r="A89" s="506"/>
      <c r="B89" s="51" t="str">
        <f>IF(ISBLANK(A89),"",VLOOKUP(A89,Management!$A$11:$C$25,2,0))</f>
        <v/>
      </c>
      <c r="C89" s="455"/>
      <c r="D89" s="421"/>
      <c r="E89" s="456"/>
      <c r="F89" s="434"/>
      <c r="G89" s="95" t="str">
        <f t="shared" si="2"/>
        <v/>
      </c>
      <c r="H89" s="435"/>
      <c r="I89" s="434"/>
      <c r="J89" s="95" t="str">
        <f t="shared" si="3"/>
        <v/>
      </c>
      <c r="K89" s="81"/>
      <c r="L89" s="362"/>
      <c r="M89" s="256" t="str">
        <f t="shared" si="8"/>
        <v/>
      </c>
      <c r="N89" s="184" t="str">
        <f>IF(OR(ISBLANK($D89),ISBLANK($K89),ISBLANK($L89)),"",IF($L89="0–9 km",0,IF(LEFT($D89,18)="Long-term teaching",VLOOKUP($K89,Subsistence,2,0)*14+VLOOKUP($K89,Subsistence,3,0)*46+VLOOKUP($K89,Subsistence,4,0)*($F89-60),IF(LEFT($D89,18)="Short-term joint s",IF($F89&lt;15,Ceilings!$S$3*$F89,Ceilings!$S$3*14+Ceilings!$S$4*($F89-14)),IF($F89&lt;15,Ceilings!$S$6*$F89,Ceilings!$S$6*14+Ceilings!$S$7*($F89-14))))))</f>
        <v/>
      </c>
      <c r="O89" s="185" t="str">
        <f>IF(OR(ISBLANK(D89),ISBLANK(H89),ISBLANK(K89),ISBLANK(L89)),"",IF(L89="0–9 km",0,IF(I89&lt;15,Ceilings!$S$3*I89,Ceilings!$S$3*14+Ceilings!$S$4*(I89-14))))</f>
        <v/>
      </c>
      <c r="P89" s="183" t="str">
        <f t="shared" si="10"/>
        <v/>
      </c>
      <c r="Q89" s="436"/>
      <c r="R89" s="266" t="str">
        <f>IF(OR(ISBLANK($D89),ISBLANK($K89),ISBLANK(Q89)),"",Ceilings!$V$3*Q89)</f>
        <v/>
      </c>
      <c r="S89" s="72" t="str">
        <f t="shared" si="9"/>
        <v/>
      </c>
    </row>
    <row r="90" spans="1:19" ht="15.75" customHeight="1">
      <c r="A90" s="506"/>
      <c r="B90" s="51" t="str">
        <f>IF(ISBLANK(A90),"",VLOOKUP(A90,Management!$A$11:$C$25,2,0))</f>
        <v/>
      </c>
      <c r="C90" s="455"/>
      <c r="D90" s="421"/>
      <c r="E90" s="456"/>
      <c r="F90" s="434"/>
      <c r="G90" s="95" t="str">
        <f t="shared" si="2"/>
        <v/>
      </c>
      <c r="H90" s="435"/>
      <c r="I90" s="434"/>
      <c r="J90" s="95" t="str">
        <f t="shared" si="3"/>
        <v/>
      </c>
      <c r="K90" s="81"/>
      <c r="L90" s="362"/>
      <c r="M90" s="256" t="str">
        <f t="shared" si="8"/>
        <v/>
      </c>
      <c r="N90" s="184" t="str">
        <f>IF(OR(ISBLANK($D90),ISBLANK($K90),ISBLANK($L90)),"",IF($L90="0–9 km",0,IF(LEFT($D90,18)="Long-term teaching",VLOOKUP($K90,Subsistence,2,0)*14+VLOOKUP($K90,Subsistence,3,0)*46+VLOOKUP($K90,Subsistence,4,0)*($F90-60),IF(LEFT($D90,18)="Short-term joint s",IF($F90&lt;15,Ceilings!$S$3*$F90,Ceilings!$S$3*14+Ceilings!$S$4*($F90-14)),IF($F90&lt;15,Ceilings!$S$6*$F90,Ceilings!$S$6*14+Ceilings!$S$7*($F90-14))))))</f>
        <v/>
      </c>
      <c r="O90" s="185" t="str">
        <f>IF(OR(ISBLANK(D90),ISBLANK(H90),ISBLANK(K90),ISBLANK(L90)),"",IF(L90="0–9 km",0,IF(I90&lt;15,Ceilings!$S$3*I90,Ceilings!$S$3*14+Ceilings!$S$4*(I90-14))))</f>
        <v/>
      </c>
      <c r="P90" s="183" t="str">
        <f t="shared" si="10"/>
        <v/>
      </c>
      <c r="Q90" s="436"/>
      <c r="R90" s="266" t="str">
        <f>IF(OR(ISBLANK($D90),ISBLANK($K90),ISBLANK(Q90)),"",Ceilings!$V$3*Q90)</f>
        <v/>
      </c>
      <c r="S90" s="72" t="str">
        <f t="shared" si="9"/>
        <v/>
      </c>
    </row>
    <row r="91" spans="1:19" ht="15.75" customHeight="1">
      <c r="A91" s="506"/>
      <c r="B91" s="51" t="str">
        <f>IF(ISBLANK(A91),"",VLOOKUP(A91,Management!$A$11:$C$25,2,0))</f>
        <v/>
      </c>
      <c r="C91" s="455"/>
      <c r="D91" s="421"/>
      <c r="E91" s="456"/>
      <c r="F91" s="434"/>
      <c r="G91" s="95" t="str">
        <f t="shared" si="2"/>
        <v/>
      </c>
      <c r="H91" s="435"/>
      <c r="I91" s="434"/>
      <c r="J91" s="95" t="str">
        <f t="shared" si="3"/>
        <v/>
      </c>
      <c r="K91" s="81"/>
      <c r="L91" s="362"/>
      <c r="M91" s="256" t="str">
        <f t="shared" si="8"/>
        <v/>
      </c>
      <c r="N91" s="184" t="str">
        <f>IF(OR(ISBLANK($D91),ISBLANK($K91),ISBLANK($L91)),"",IF($L91="0–9 km",0,IF(LEFT($D91,18)="Long-term teaching",VLOOKUP($K91,Subsistence,2,0)*14+VLOOKUP($K91,Subsistence,3,0)*46+VLOOKUP($K91,Subsistence,4,0)*($F91-60),IF(LEFT($D91,18)="Short-term joint s",IF($F91&lt;15,Ceilings!$S$3*$F91,Ceilings!$S$3*14+Ceilings!$S$4*($F91-14)),IF($F91&lt;15,Ceilings!$S$6*$F91,Ceilings!$S$6*14+Ceilings!$S$7*($F91-14))))))</f>
        <v/>
      </c>
      <c r="O91" s="185" t="str">
        <f>IF(OR(ISBLANK(D91),ISBLANK(H91),ISBLANK(K91),ISBLANK(L91)),"",IF(L91="0–9 km",0,IF(I91&lt;15,Ceilings!$S$3*I91,Ceilings!$S$3*14+Ceilings!$S$4*(I91-14))))</f>
        <v/>
      </c>
      <c r="P91" s="183" t="str">
        <f t="shared" si="10"/>
        <v/>
      </c>
      <c r="Q91" s="436"/>
      <c r="R91" s="266" t="str">
        <f>IF(OR(ISBLANK($D91),ISBLANK($K91),ISBLANK(Q91)),"",Ceilings!$V$3*Q91)</f>
        <v/>
      </c>
      <c r="S91" s="72" t="str">
        <f t="shared" si="9"/>
        <v/>
      </c>
    </row>
    <row r="92" spans="1:19" ht="15.75" customHeight="1">
      <c r="A92" s="506"/>
      <c r="B92" s="51" t="str">
        <f>IF(ISBLANK(A92),"",VLOOKUP(A92,Management!$A$11:$C$25,2,0))</f>
        <v/>
      </c>
      <c r="C92" s="455"/>
      <c r="D92" s="421"/>
      <c r="E92" s="456"/>
      <c r="F92" s="434"/>
      <c r="G92" s="95" t="str">
        <f t="shared" si="2"/>
        <v/>
      </c>
      <c r="H92" s="435"/>
      <c r="I92" s="434"/>
      <c r="J92" s="95" t="str">
        <f t="shared" si="3"/>
        <v/>
      </c>
      <c r="K92" s="81"/>
      <c r="L92" s="362"/>
      <c r="M92" s="256" t="str">
        <f t="shared" si="8"/>
        <v/>
      </c>
      <c r="N92" s="184" t="str">
        <f>IF(OR(ISBLANK($D92),ISBLANK($K92),ISBLANK($L92)),"",IF($L92="0–9 km",0,IF(LEFT($D92,18)="Long-term teaching",VLOOKUP($K92,Subsistence,2,0)*14+VLOOKUP($K92,Subsistence,3,0)*46+VLOOKUP($K92,Subsistence,4,0)*($F92-60),IF(LEFT($D92,18)="Short-term joint s",IF($F92&lt;15,Ceilings!$S$3*$F92,Ceilings!$S$3*14+Ceilings!$S$4*($F92-14)),IF($F92&lt;15,Ceilings!$S$6*$F92,Ceilings!$S$6*14+Ceilings!$S$7*($F92-14))))))</f>
        <v/>
      </c>
      <c r="O92" s="185" t="str">
        <f>IF(OR(ISBLANK(D92),ISBLANK(H92),ISBLANK(K92),ISBLANK(L92)),"",IF(L92="0–9 km",0,IF(I92&lt;15,Ceilings!$S$3*I92,Ceilings!$S$3*14+Ceilings!$S$4*(I92-14))))</f>
        <v/>
      </c>
      <c r="P92" s="183" t="str">
        <f t="shared" si="10"/>
        <v/>
      </c>
      <c r="Q92" s="436"/>
      <c r="R92" s="266" t="str">
        <f>IF(OR(ISBLANK($D92),ISBLANK($K92),ISBLANK(Q92)),"",Ceilings!$V$3*Q92)</f>
        <v/>
      </c>
      <c r="S92" s="72" t="str">
        <f t="shared" si="9"/>
        <v/>
      </c>
    </row>
    <row r="93" spans="1:19" ht="15.75" customHeight="1">
      <c r="A93" s="506"/>
      <c r="B93" s="51" t="str">
        <f>IF(ISBLANK(A93),"",VLOOKUP(A93,Management!$A$11:$C$25,2,0))</f>
        <v/>
      </c>
      <c r="C93" s="455"/>
      <c r="D93" s="421"/>
      <c r="E93" s="456"/>
      <c r="F93" s="434"/>
      <c r="G93" s="95" t="str">
        <f t="shared" si="2"/>
        <v/>
      </c>
      <c r="H93" s="435"/>
      <c r="I93" s="434"/>
      <c r="J93" s="95" t="str">
        <f t="shared" si="3"/>
        <v/>
      </c>
      <c r="K93" s="81"/>
      <c r="L93" s="362"/>
      <c r="M93" s="256" t="str">
        <f t="shared" si="8"/>
        <v/>
      </c>
      <c r="N93" s="184" t="str">
        <f>IF(OR(ISBLANK($D93),ISBLANK($K93),ISBLANK($L93)),"",IF($L93="0–9 km",0,IF(LEFT($D93,18)="Long-term teaching",VLOOKUP($K93,Subsistence,2,0)*14+VLOOKUP($K93,Subsistence,3,0)*46+VLOOKUP($K93,Subsistence,4,0)*($F93-60),IF(LEFT($D93,18)="Short-term joint s",IF($F93&lt;15,Ceilings!$S$3*$F93,Ceilings!$S$3*14+Ceilings!$S$4*($F93-14)),IF($F93&lt;15,Ceilings!$S$6*$F93,Ceilings!$S$6*14+Ceilings!$S$7*($F93-14))))))</f>
        <v/>
      </c>
      <c r="O93" s="185" t="str">
        <f>IF(OR(ISBLANK(D93),ISBLANK(H93),ISBLANK(K93),ISBLANK(L93)),"",IF(L93="0–9 km",0,IF(I93&lt;15,Ceilings!$S$3*I93,Ceilings!$S$3*14+Ceilings!$S$4*(I93-14))))</f>
        <v/>
      </c>
      <c r="P93" s="183" t="str">
        <f t="shared" si="10"/>
        <v/>
      </c>
      <c r="Q93" s="436"/>
      <c r="R93" s="266" t="str">
        <f>IF(OR(ISBLANK($D93),ISBLANK($K93),ISBLANK(Q93)),"",Ceilings!$V$3*Q93)</f>
        <v/>
      </c>
      <c r="S93" s="72" t="str">
        <f t="shared" si="9"/>
        <v/>
      </c>
    </row>
    <row r="94" spans="1:19" ht="15.75" customHeight="1">
      <c r="A94" s="506"/>
      <c r="B94" s="51" t="str">
        <f>IF(ISBLANK(A94),"",VLOOKUP(A94,Management!$A$11:$C$25,2,0))</f>
        <v/>
      </c>
      <c r="C94" s="455"/>
      <c r="D94" s="421"/>
      <c r="E94" s="456"/>
      <c r="F94" s="434"/>
      <c r="G94" s="95" t="str">
        <f t="shared" si="2"/>
        <v/>
      </c>
      <c r="H94" s="435"/>
      <c r="I94" s="434"/>
      <c r="J94" s="95" t="str">
        <f t="shared" si="3"/>
        <v/>
      </c>
      <c r="K94" s="81"/>
      <c r="L94" s="362"/>
      <c r="M94" s="256" t="str">
        <f t="shared" si="8"/>
        <v/>
      </c>
      <c r="N94" s="184" t="str">
        <f>IF(OR(ISBLANK($D94),ISBLANK($K94),ISBLANK($L94)),"",IF($L94="0–9 km",0,IF(LEFT($D94,18)="Long-term teaching",VLOOKUP($K94,Subsistence,2,0)*14+VLOOKUP($K94,Subsistence,3,0)*46+VLOOKUP($K94,Subsistence,4,0)*($F94-60),IF(LEFT($D94,18)="Short-term joint s",IF($F94&lt;15,Ceilings!$S$3*$F94,Ceilings!$S$3*14+Ceilings!$S$4*($F94-14)),IF($F94&lt;15,Ceilings!$S$6*$F94,Ceilings!$S$6*14+Ceilings!$S$7*($F94-14))))))</f>
        <v/>
      </c>
      <c r="O94" s="185" t="str">
        <f>IF(OR(ISBLANK(D94),ISBLANK(H94),ISBLANK(K94),ISBLANK(L94)),"",IF(L94="0–9 km",0,IF(I94&lt;15,Ceilings!$S$3*I94,Ceilings!$S$3*14+Ceilings!$S$4*(I94-14))))</f>
        <v/>
      </c>
      <c r="P94" s="183" t="str">
        <f t="shared" si="10"/>
        <v/>
      </c>
      <c r="Q94" s="436"/>
      <c r="R94" s="266" t="str">
        <f>IF(OR(ISBLANK($D94),ISBLANK($K94),ISBLANK(Q94)),"",Ceilings!$V$3*Q94)</f>
        <v/>
      </c>
      <c r="S94" s="72" t="str">
        <f t="shared" si="9"/>
        <v/>
      </c>
    </row>
    <row r="95" spans="1:19" ht="15.75" customHeight="1">
      <c r="A95" s="506"/>
      <c r="B95" s="51" t="str">
        <f>IF(ISBLANK(A95),"",VLOOKUP(A95,Management!$A$11:$C$25,2,0))</f>
        <v/>
      </c>
      <c r="C95" s="455"/>
      <c r="D95" s="421"/>
      <c r="E95" s="456"/>
      <c r="F95" s="434"/>
      <c r="G95" s="95" t="str">
        <f t="shared" si="2"/>
        <v/>
      </c>
      <c r="H95" s="435"/>
      <c r="I95" s="434"/>
      <c r="J95" s="95" t="str">
        <f t="shared" si="3"/>
        <v/>
      </c>
      <c r="K95" s="81"/>
      <c r="L95" s="362"/>
      <c r="M95" s="256" t="str">
        <f t="shared" si="8"/>
        <v/>
      </c>
      <c r="N95" s="184" t="str">
        <f>IF(OR(ISBLANK($D95),ISBLANK($K95),ISBLANK($L95)),"",IF($L95="0–9 km",0,IF(LEFT($D95,18)="Long-term teaching",VLOOKUP($K95,Subsistence,2,0)*14+VLOOKUP($K95,Subsistence,3,0)*46+VLOOKUP($K95,Subsistence,4,0)*($F95-60),IF(LEFT($D95,18)="Short-term joint s",IF($F95&lt;15,Ceilings!$S$3*$F95,Ceilings!$S$3*14+Ceilings!$S$4*($F95-14)),IF($F95&lt;15,Ceilings!$S$6*$F95,Ceilings!$S$6*14+Ceilings!$S$7*($F95-14))))))</f>
        <v/>
      </c>
      <c r="O95" s="185" t="str">
        <f>IF(OR(ISBLANK(D95),ISBLANK(H95),ISBLANK(K95),ISBLANK(L95)),"",IF(L95="0–9 km",0,IF(I95&lt;15,Ceilings!$S$3*I95,Ceilings!$S$3*14+Ceilings!$S$4*(I95-14))))</f>
        <v/>
      </c>
      <c r="P95" s="183" t="str">
        <f t="shared" si="10"/>
        <v/>
      </c>
      <c r="Q95" s="436"/>
      <c r="R95" s="266" t="str">
        <f>IF(OR(ISBLANK($D95),ISBLANK($K95),ISBLANK(Q95)),"",Ceilings!$V$3*Q95)</f>
        <v/>
      </c>
      <c r="S95" s="72" t="str">
        <f t="shared" si="9"/>
        <v/>
      </c>
    </row>
    <row r="96" spans="1:19" ht="15.75" customHeight="1">
      <c r="A96" s="506"/>
      <c r="B96" s="51" t="str">
        <f>IF(ISBLANK(A96),"",VLOOKUP(A96,Management!$A$11:$C$25,2,0))</f>
        <v/>
      </c>
      <c r="C96" s="455"/>
      <c r="D96" s="421"/>
      <c r="E96" s="456"/>
      <c r="F96" s="434"/>
      <c r="G96" s="95" t="str">
        <f t="shared" si="2"/>
        <v/>
      </c>
      <c r="H96" s="435"/>
      <c r="I96" s="434"/>
      <c r="J96" s="95" t="str">
        <f t="shared" si="3"/>
        <v/>
      </c>
      <c r="K96" s="81"/>
      <c r="L96" s="362"/>
      <c r="M96" s="256" t="str">
        <f t="shared" si="8"/>
        <v/>
      </c>
      <c r="N96" s="184" t="str">
        <f>IF(OR(ISBLANK($D96),ISBLANK($K96),ISBLANK($L96)),"",IF($L96="0–9 km",0,IF(LEFT($D96,18)="Long-term teaching",VLOOKUP($K96,Subsistence,2,0)*14+VLOOKUP($K96,Subsistence,3,0)*46+VLOOKUP($K96,Subsistence,4,0)*($F96-60),IF(LEFT($D96,18)="Short-term joint s",IF($F96&lt;15,Ceilings!$S$3*$F96,Ceilings!$S$3*14+Ceilings!$S$4*($F96-14)),IF($F96&lt;15,Ceilings!$S$6*$F96,Ceilings!$S$6*14+Ceilings!$S$7*($F96-14))))))</f>
        <v/>
      </c>
      <c r="O96" s="185" t="str">
        <f>IF(OR(ISBLANK(D96),ISBLANK(H96),ISBLANK(K96),ISBLANK(L96)),"",IF(L96="0–9 km",0,IF(I96&lt;15,Ceilings!$S$3*I96,Ceilings!$S$3*14+Ceilings!$S$4*(I96-14))))</f>
        <v/>
      </c>
      <c r="P96" s="183" t="str">
        <f t="shared" si="10"/>
        <v/>
      </c>
      <c r="Q96" s="436"/>
      <c r="R96" s="266" t="str">
        <f>IF(OR(ISBLANK($D96),ISBLANK($K96),ISBLANK(Q96)),"",Ceilings!$V$3*Q96)</f>
        <v/>
      </c>
      <c r="S96" s="72" t="str">
        <f t="shared" si="9"/>
        <v/>
      </c>
    </row>
    <row r="97" spans="1:19" ht="15.75" customHeight="1">
      <c r="A97" s="506"/>
      <c r="B97" s="51" t="str">
        <f>IF(ISBLANK(A97),"",VLOOKUP(A97,Management!$A$11:$C$25,2,0))</f>
        <v/>
      </c>
      <c r="C97" s="455"/>
      <c r="D97" s="421"/>
      <c r="E97" s="456"/>
      <c r="F97" s="434"/>
      <c r="G97" s="95" t="str">
        <f t="shared" si="2"/>
        <v/>
      </c>
      <c r="H97" s="435"/>
      <c r="I97" s="434"/>
      <c r="J97" s="95" t="str">
        <f t="shared" si="3"/>
        <v/>
      </c>
      <c r="K97" s="81"/>
      <c r="L97" s="362"/>
      <c r="M97" s="256" t="str">
        <f t="shared" si="8"/>
        <v/>
      </c>
      <c r="N97" s="184" t="str">
        <f>IF(OR(ISBLANK($D97),ISBLANK($K97),ISBLANK($L97)),"",IF($L97="0–9 km",0,IF(LEFT($D97,18)="Long-term teaching",VLOOKUP($K97,Subsistence,2,0)*14+VLOOKUP($K97,Subsistence,3,0)*46+VLOOKUP($K97,Subsistence,4,0)*($F97-60),IF(LEFT($D97,18)="Short-term joint s",IF($F97&lt;15,Ceilings!$S$3*$F97,Ceilings!$S$3*14+Ceilings!$S$4*($F97-14)),IF($F97&lt;15,Ceilings!$S$6*$F97,Ceilings!$S$6*14+Ceilings!$S$7*($F97-14))))))</f>
        <v/>
      </c>
      <c r="O97" s="185" t="str">
        <f>IF(OR(ISBLANK(D97),ISBLANK(H97),ISBLANK(K97),ISBLANK(L97)),"",IF(L97="0–9 km",0,IF(I97&lt;15,Ceilings!$S$3*I97,Ceilings!$S$3*14+Ceilings!$S$4*(I97-14))))</f>
        <v/>
      </c>
      <c r="P97" s="183" t="str">
        <f t="shared" si="10"/>
        <v/>
      </c>
      <c r="Q97" s="436"/>
      <c r="R97" s="266" t="str">
        <f>IF(OR(ISBLANK($D97),ISBLANK($K97),ISBLANK(Q97)),"",Ceilings!$V$3*Q97)</f>
        <v/>
      </c>
      <c r="S97" s="72" t="str">
        <f t="shared" si="9"/>
        <v/>
      </c>
    </row>
    <row r="98" spans="1:19" ht="15.75" customHeight="1">
      <c r="A98" s="506"/>
      <c r="B98" s="51" t="str">
        <f>IF(ISBLANK(A98),"",VLOOKUP(A98,Management!$A$11:$C$25,2,0))</f>
        <v/>
      </c>
      <c r="C98" s="455"/>
      <c r="D98" s="421"/>
      <c r="E98" s="456"/>
      <c r="F98" s="434"/>
      <c r="G98" s="95" t="str">
        <f t="shared" si="2"/>
        <v/>
      </c>
      <c r="H98" s="435"/>
      <c r="I98" s="434"/>
      <c r="J98" s="95" t="str">
        <f t="shared" si="3"/>
        <v/>
      </c>
      <c r="K98" s="81"/>
      <c r="L98" s="362"/>
      <c r="M98" s="256" t="str">
        <f t="shared" si="8"/>
        <v/>
      </c>
      <c r="N98" s="184" t="str">
        <f>IF(OR(ISBLANK($D98),ISBLANK($K98),ISBLANK($L98)),"",IF($L98="0–9 km",0,IF(LEFT($D98,18)="Long-term teaching",VLOOKUP($K98,Subsistence,2,0)*14+VLOOKUP($K98,Subsistence,3,0)*46+VLOOKUP($K98,Subsistence,4,0)*($F98-60),IF(LEFT($D98,18)="Short-term joint s",IF($F98&lt;15,Ceilings!$S$3*$F98,Ceilings!$S$3*14+Ceilings!$S$4*($F98-14)),IF($F98&lt;15,Ceilings!$S$6*$F98,Ceilings!$S$6*14+Ceilings!$S$7*($F98-14))))))</f>
        <v/>
      </c>
      <c r="O98" s="185" t="str">
        <f>IF(OR(ISBLANK(D98),ISBLANK(H98),ISBLANK(K98),ISBLANK(L98)),"",IF(L98="0–9 km",0,IF(I98&lt;15,Ceilings!$S$3*I98,Ceilings!$S$3*14+Ceilings!$S$4*(I98-14))))</f>
        <v/>
      </c>
      <c r="P98" s="183" t="str">
        <f t="shared" si="10"/>
        <v/>
      </c>
      <c r="Q98" s="436"/>
      <c r="R98" s="266" t="str">
        <f>IF(OR(ISBLANK($D98),ISBLANK($K98),ISBLANK(Q98)),"",Ceilings!$V$3*Q98)</f>
        <v/>
      </c>
      <c r="S98" s="72" t="str">
        <f t="shared" si="9"/>
        <v/>
      </c>
    </row>
    <row r="99" spans="1:19" ht="15.75" customHeight="1">
      <c r="A99" s="506"/>
      <c r="B99" s="51" t="str">
        <f>IF(ISBLANK(A99),"",VLOOKUP(A99,Management!$A$11:$C$25,2,0))</f>
        <v/>
      </c>
      <c r="C99" s="455"/>
      <c r="D99" s="421"/>
      <c r="E99" s="456"/>
      <c r="F99" s="434"/>
      <c r="G99" s="95" t="str">
        <f t="shared" si="2"/>
        <v/>
      </c>
      <c r="H99" s="435"/>
      <c r="I99" s="434"/>
      <c r="J99" s="95" t="str">
        <f t="shared" si="3"/>
        <v/>
      </c>
      <c r="K99" s="81"/>
      <c r="L99" s="362"/>
      <c r="M99" s="256" t="str">
        <f t="shared" si="8"/>
        <v/>
      </c>
      <c r="N99" s="184" t="str">
        <f>IF(OR(ISBLANK($D99),ISBLANK($K99),ISBLANK($L99)),"",IF($L99="0–9 km",0,IF(LEFT($D99,18)="Long-term teaching",VLOOKUP($K99,Subsistence,2,0)*14+VLOOKUP($K99,Subsistence,3,0)*46+VLOOKUP($K99,Subsistence,4,0)*($F99-60),IF(LEFT($D99,18)="Short-term joint s",IF($F99&lt;15,Ceilings!$S$3*$F99,Ceilings!$S$3*14+Ceilings!$S$4*($F99-14)),IF($F99&lt;15,Ceilings!$S$6*$F99,Ceilings!$S$6*14+Ceilings!$S$7*($F99-14))))))</f>
        <v/>
      </c>
      <c r="O99" s="185" t="str">
        <f>IF(OR(ISBLANK(D99),ISBLANK(H99),ISBLANK(K99),ISBLANK(L99)),"",IF(L99="0–9 km",0,IF(I99&lt;15,Ceilings!$S$3*I99,Ceilings!$S$3*14+Ceilings!$S$4*(I99-14))))</f>
        <v/>
      </c>
      <c r="P99" s="183" t="str">
        <f t="shared" si="10"/>
        <v/>
      </c>
      <c r="Q99" s="436"/>
      <c r="R99" s="266" t="str">
        <f>IF(OR(ISBLANK($D99),ISBLANK($K99),ISBLANK(Q99)),"",Ceilings!$V$3*Q99)</f>
        <v/>
      </c>
      <c r="S99" s="72" t="str">
        <f t="shared" si="9"/>
        <v/>
      </c>
    </row>
    <row r="100" spans="1:19" ht="15.75" customHeight="1">
      <c r="A100" s="506"/>
      <c r="B100" s="51" t="str">
        <f>IF(ISBLANK(A100),"",VLOOKUP(A100,Management!$A$11:$C$25,2,0))</f>
        <v/>
      </c>
      <c r="C100" s="455"/>
      <c r="D100" s="421"/>
      <c r="E100" s="456"/>
      <c r="F100" s="434"/>
      <c r="G100" s="95" t="str">
        <f t="shared" si="2"/>
        <v/>
      </c>
      <c r="H100" s="435"/>
      <c r="I100" s="434"/>
      <c r="J100" s="95" t="str">
        <f t="shared" si="3"/>
        <v/>
      </c>
      <c r="K100" s="81"/>
      <c r="L100" s="362"/>
      <c r="M100" s="256" t="str">
        <f t="shared" si="8"/>
        <v/>
      </c>
      <c r="N100" s="184" t="str">
        <f>IF(OR(ISBLANK($D100),ISBLANK($K100),ISBLANK($L100)),"",IF($L100="0–9 km",0,IF(LEFT($D100,18)="Long-term teaching",VLOOKUP($K100,Subsistence,2,0)*14+VLOOKUP($K100,Subsistence,3,0)*46+VLOOKUP($K100,Subsistence,4,0)*($F100-60),IF(LEFT($D100,18)="Short-term joint s",IF($F100&lt;15,Ceilings!$S$3*$F100,Ceilings!$S$3*14+Ceilings!$S$4*($F100-14)),IF($F100&lt;15,Ceilings!$S$6*$F100,Ceilings!$S$6*14+Ceilings!$S$7*($F100-14))))))</f>
        <v/>
      </c>
      <c r="O100" s="185" t="str">
        <f>IF(OR(ISBLANK(D100),ISBLANK(H100),ISBLANK(K100),ISBLANK(L100)),"",IF(L100="0–9 km",0,IF(I100&lt;15,Ceilings!$S$3*I100,Ceilings!$S$3*14+Ceilings!$S$4*(I100-14))))</f>
        <v/>
      </c>
      <c r="P100" s="183" t="str">
        <f t="shared" si="10"/>
        <v/>
      </c>
      <c r="Q100" s="436"/>
      <c r="R100" s="266" t="str">
        <f>IF(OR(ISBLANK($D100),ISBLANK($K100),ISBLANK(Q100)),"",Ceilings!$V$3*Q100)</f>
        <v/>
      </c>
      <c r="S100" s="72" t="str">
        <f t="shared" si="9"/>
        <v/>
      </c>
    </row>
    <row r="101" spans="1:19" ht="15.75" customHeight="1">
      <c r="A101" s="506"/>
      <c r="B101" s="51" t="str">
        <f>IF(ISBLANK(A101),"",VLOOKUP(A101,Management!$A$11:$C$25,2,0))</f>
        <v/>
      </c>
      <c r="C101" s="455"/>
      <c r="D101" s="421"/>
      <c r="E101" s="456"/>
      <c r="F101" s="434"/>
      <c r="G101" s="95" t="str">
        <f t="shared" si="2"/>
        <v/>
      </c>
      <c r="H101" s="435"/>
      <c r="I101" s="434"/>
      <c r="J101" s="95" t="str">
        <f t="shared" si="3"/>
        <v/>
      </c>
      <c r="K101" s="81"/>
      <c r="L101" s="362"/>
      <c r="M101" s="256" t="str">
        <f t="shared" si="8"/>
        <v/>
      </c>
      <c r="N101" s="184" t="str">
        <f>IF(OR(ISBLANK($D101),ISBLANK($K101),ISBLANK($L101)),"",IF($L101="0–9 km",0,IF(LEFT($D101,18)="Long-term teaching",VLOOKUP($K101,Subsistence,2,0)*14+VLOOKUP($K101,Subsistence,3,0)*46+VLOOKUP($K101,Subsistence,4,0)*($F101-60),IF(LEFT($D101,18)="Short-term joint s",IF($F101&lt;15,Ceilings!$S$3*$F101,Ceilings!$S$3*14+Ceilings!$S$4*($F101-14)),IF($F101&lt;15,Ceilings!$S$6*$F101,Ceilings!$S$6*14+Ceilings!$S$7*($F101-14))))))</f>
        <v/>
      </c>
      <c r="O101" s="185" t="str">
        <f>IF(OR(ISBLANK(D101),ISBLANK(H101),ISBLANK(K101),ISBLANK(L101)),"",IF(L101="0–9 km",0,IF(I101&lt;15,Ceilings!$S$3*I101,Ceilings!$S$3*14+Ceilings!$S$4*(I101-14))))</f>
        <v/>
      </c>
      <c r="P101" s="183" t="str">
        <f t="shared" si="10"/>
        <v/>
      </c>
      <c r="Q101" s="436"/>
      <c r="R101" s="266" t="str">
        <f>IF(OR(ISBLANK($D101),ISBLANK($K101),ISBLANK(Q101)),"",Ceilings!$V$3*Q101)</f>
        <v/>
      </c>
      <c r="S101" s="72" t="str">
        <f t="shared" si="9"/>
        <v/>
      </c>
    </row>
    <row r="102" spans="1:19" ht="15.75" customHeight="1">
      <c r="A102" s="506"/>
      <c r="B102" s="51" t="str">
        <f>IF(ISBLANK(A102),"",VLOOKUP(A102,Management!$A$11:$C$25,2,0))</f>
        <v/>
      </c>
      <c r="C102" s="455"/>
      <c r="D102" s="421"/>
      <c r="E102" s="456"/>
      <c r="F102" s="434"/>
      <c r="G102" s="95" t="str">
        <f t="shared" si="2"/>
        <v/>
      </c>
      <c r="H102" s="435"/>
      <c r="I102" s="434"/>
      <c r="J102" s="95" t="str">
        <f t="shared" si="3"/>
        <v/>
      </c>
      <c r="K102" s="81"/>
      <c r="L102" s="362"/>
      <c r="M102" s="256" t="str">
        <f t="shared" si="8"/>
        <v/>
      </c>
      <c r="N102" s="184" t="str">
        <f>IF(OR(ISBLANK($D102),ISBLANK($K102),ISBLANK($L102)),"",IF($L102="0–9 km",0,IF(LEFT($D102,18)="Long-term teaching",VLOOKUP($K102,Subsistence,2,0)*14+VLOOKUP($K102,Subsistence,3,0)*46+VLOOKUP($K102,Subsistence,4,0)*($F102-60),IF(LEFT($D102,18)="Short-term joint s",IF($F102&lt;15,Ceilings!$S$3*$F102,Ceilings!$S$3*14+Ceilings!$S$4*($F102-14)),IF($F102&lt;15,Ceilings!$S$6*$F102,Ceilings!$S$6*14+Ceilings!$S$7*($F102-14))))))</f>
        <v/>
      </c>
      <c r="O102" s="185" t="str">
        <f>IF(OR(ISBLANK(D102),ISBLANK(H102),ISBLANK(K102),ISBLANK(L102)),"",IF(L102="0–9 km",0,IF(I102&lt;15,Ceilings!$S$3*I102,Ceilings!$S$3*14+Ceilings!$S$4*(I102-14))))</f>
        <v/>
      </c>
      <c r="P102" s="183" t="str">
        <f t="shared" si="10"/>
        <v/>
      </c>
      <c r="Q102" s="436"/>
      <c r="R102" s="266" t="str">
        <f>IF(OR(ISBLANK($D102),ISBLANK($K102),ISBLANK(Q102)),"",Ceilings!$V$3*Q102)</f>
        <v/>
      </c>
      <c r="S102" s="72" t="str">
        <f t="shared" si="9"/>
        <v/>
      </c>
    </row>
    <row r="103" spans="1:19" ht="15.75" customHeight="1">
      <c r="A103" s="506"/>
      <c r="B103" s="51" t="str">
        <f>IF(ISBLANK(A103),"",VLOOKUP(A103,Management!$A$11:$C$25,2,0))</f>
        <v/>
      </c>
      <c r="C103" s="455"/>
      <c r="D103" s="421"/>
      <c r="E103" s="456"/>
      <c r="F103" s="434"/>
      <c r="G103" s="95" t="str">
        <f t="shared" si="2"/>
        <v/>
      </c>
      <c r="H103" s="435"/>
      <c r="I103" s="434"/>
      <c r="J103" s="95" t="str">
        <f t="shared" si="3"/>
        <v/>
      </c>
      <c r="K103" s="81"/>
      <c r="L103" s="362"/>
      <c r="M103" s="256" t="str">
        <f>IF(ISBLANK(L103),"",(E103+H103)*VLOOKUP(L103,TravelGrant,2,0))</f>
        <v/>
      </c>
      <c r="N103" s="184" t="str">
        <f>IF(OR(ISBLANK($D103),ISBLANK($K103),ISBLANK($L103)),"",IF($L103="0–9 km",0,IF(LEFT($D103,18)="Long-term teaching",VLOOKUP($K103,Subsistence,2,0)*14+VLOOKUP($K103,Subsistence,3,0)*46+VLOOKUP($K103,Subsistence,4,0)*($F103-60),IF(LEFT($D103,18)="Short-term joint s",IF($F103&lt;15,Ceilings!$S$3*$F103,Ceilings!$S$3*14+Ceilings!$S$4*($F103-14)),IF($F103&lt;15,Ceilings!$S$6*$F103,Ceilings!$S$6*14+Ceilings!$S$7*($F103-14))))))</f>
        <v/>
      </c>
      <c r="O103" s="185" t="str">
        <f>IF(OR(ISBLANK(D103),ISBLANK(H103),ISBLANK(K103),ISBLANK(L103)),"",IF(L103="0–9 km",0,IF(I103&lt;15,Ceilings!$S$3*I103,Ceilings!$S$3*14+Ceilings!$S$4*(I103-14))))</f>
        <v/>
      </c>
      <c r="P103" s="183" t="str">
        <f t="shared" si="10"/>
        <v/>
      </c>
      <c r="Q103" s="436"/>
      <c r="R103" s="266" t="str">
        <f>IF(OR(ISBLANK($D103),ISBLANK($K103),ISBLANK(Q103)),"",Ceilings!$V$3*Q103)</f>
        <v/>
      </c>
      <c r="S103" s="72" t="str">
        <f t="shared" si="9"/>
        <v/>
      </c>
    </row>
    <row r="104" spans="1:19" ht="15.75" customHeight="1">
      <c r="A104" s="506"/>
      <c r="B104" s="51" t="str">
        <f>IF(ISBLANK(A104),"",VLOOKUP(A104,Management!$A$11:$C$25,2,0))</f>
        <v/>
      </c>
      <c r="C104" s="455"/>
      <c r="D104" s="421"/>
      <c r="E104" s="456"/>
      <c r="F104" s="434"/>
      <c r="G104" s="95" t="str">
        <f t="shared" si="2"/>
        <v/>
      </c>
      <c r="H104" s="435"/>
      <c r="I104" s="434"/>
      <c r="J104" s="95" t="str">
        <f t="shared" si="3"/>
        <v/>
      </c>
      <c r="K104" s="81"/>
      <c r="L104" s="362"/>
      <c r="M104" s="256" t="str">
        <f>IF(ISBLANK(L104),"",(E104+H104)*VLOOKUP(L104,TravelGrant,2,0))</f>
        <v/>
      </c>
      <c r="N104" s="184" t="str">
        <f>IF(OR(ISBLANK($D104),ISBLANK($K104),ISBLANK($L104)),"",IF($L104="0–9 km",0,IF(LEFT($D104,18)="Long-term teaching",VLOOKUP($K104,Subsistence,2,0)*14+VLOOKUP($K104,Subsistence,3,0)*46+VLOOKUP($K104,Subsistence,4,0)*($F104-60),IF(LEFT($D104,18)="Short-term joint s",IF($F104&lt;15,Ceilings!$S$3*$F104,Ceilings!$S$3*14+Ceilings!$S$4*($F104-14)),IF($F104&lt;15,Ceilings!$S$6*$F104,Ceilings!$S$6*14+Ceilings!$S$7*($F104-14))))))</f>
        <v/>
      </c>
      <c r="O104" s="185" t="str">
        <f>IF(OR(ISBLANK(D104),ISBLANK(H104),ISBLANK(K104),ISBLANK(L104)),"",IF(L104="0–9 km",0,IF(I104&lt;15,Ceilings!$S$3*I104,Ceilings!$S$3*14+Ceilings!$S$4*(I104-14))))</f>
        <v/>
      </c>
      <c r="P104" s="183" t="str">
        <f t="shared" si="10"/>
        <v/>
      </c>
      <c r="Q104" s="436"/>
      <c r="R104" s="266" t="str">
        <f>IF(OR(ISBLANK($D104),ISBLANK($K104),ISBLANK(Q104)),"",Ceilings!$V$3*Q104)</f>
        <v/>
      </c>
      <c r="S104" s="72" t="str">
        <f t="shared" si="9"/>
        <v/>
      </c>
    </row>
    <row r="105" spans="1:19" ht="15.75" customHeight="1">
      <c r="A105" s="506"/>
      <c r="B105" s="51" t="str">
        <f>IF(ISBLANK(A105),"",VLOOKUP(A105,Management!$A$11:$C$25,2,0))</f>
        <v/>
      </c>
      <c r="C105" s="455"/>
      <c r="D105" s="421"/>
      <c r="E105" s="456"/>
      <c r="F105" s="434"/>
      <c r="G105" s="95" t="str">
        <f t="shared" si="2"/>
        <v/>
      </c>
      <c r="H105" s="435"/>
      <c r="I105" s="434"/>
      <c r="J105" s="95" t="str">
        <f t="shared" si="3"/>
        <v/>
      </c>
      <c r="K105" s="81"/>
      <c r="L105" s="362"/>
      <c r="M105" s="256" t="str">
        <f>IF(ISBLANK(L105),"",(E105+H105)*VLOOKUP(L105,TravelGrant,2,0))</f>
        <v/>
      </c>
      <c r="N105" s="184" t="str">
        <f>IF(OR(ISBLANK($D105),ISBLANK($K105),ISBLANK($L105)),"",IF($L105="0–9 km",0,IF(LEFT($D105,18)="Long-term teaching",VLOOKUP($K105,Subsistence,2,0)*14+VLOOKUP($K105,Subsistence,3,0)*46+VLOOKUP($K105,Subsistence,4,0)*($F105-60),IF(LEFT($D105,18)="Short-term joint s",IF($F105&lt;15,Ceilings!$S$3*$F105,Ceilings!$S$3*14+Ceilings!$S$4*($F105-14)),IF($F105&lt;15,Ceilings!$S$6*$F105,Ceilings!$S$6*14+Ceilings!$S$7*($F105-14))))))</f>
        <v/>
      </c>
      <c r="O105" s="185" t="str">
        <f>IF(OR(ISBLANK(D105),ISBLANK(H105),ISBLANK(K105),ISBLANK(L105)),"",IF(L105="0–9 km",0,IF(I105&lt;15,Ceilings!$S$3*I105,Ceilings!$S$3*14+Ceilings!$S$4*(I105-14))))</f>
        <v/>
      </c>
      <c r="P105" s="183" t="str">
        <f t="shared" si="10"/>
        <v/>
      </c>
      <c r="Q105" s="436"/>
      <c r="R105" s="266" t="str">
        <f>IF(OR(ISBLANK($D105),ISBLANK($K105),ISBLANK(Q105)),"",Ceilings!$V$3*Q105)</f>
        <v/>
      </c>
      <c r="S105" s="72" t="str">
        <f t="shared" si="9"/>
        <v/>
      </c>
    </row>
    <row r="106" spans="1:19" ht="15.75" customHeight="1" thickBot="1">
      <c r="A106" s="507"/>
      <c r="B106" s="52" t="str">
        <f>IF(ISBLANK(A106),"",VLOOKUP(A106,Management!$A$11:$C$25,2,0))</f>
        <v/>
      </c>
      <c r="C106" s="457"/>
      <c r="D106" s="422"/>
      <c r="E106" s="458"/>
      <c r="F106" s="443"/>
      <c r="G106" s="444" t="str">
        <f t="shared" si="2"/>
        <v/>
      </c>
      <c r="H106" s="445"/>
      <c r="I106" s="443"/>
      <c r="J106" s="444" t="str">
        <f t="shared" si="3"/>
        <v/>
      </c>
      <c r="K106" s="446"/>
      <c r="L106" s="447"/>
      <c r="M106" s="448" t="str">
        <f>IF(ISBLANK(L106),"",(E106+H106)*VLOOKUP(L106,TravelGrant,2,0))</f>
        <v/>
      </c>
      <c r="N106" s="449" t="str">
        <f>IF(OR(ISBLANK($D106),ISBLANK($K106),ISBLANK($L106)),"",IF($L106="0–9 km",0,IF(LEFT($D106,18)="Long-term teaching",VLOOKUP($K106,Subsistence,2,0)*14+VLOOKUP($K106,Subsistence,3,0)*46+VLOOKUP($K106,Subsistence,4,0)*($F106-60),IF(LEFT($D106,18)="Short-term joint s",IF($F106&lt;15,Ceilings!$S$3*$F106,Ceilings!$S$3*14+Ceilings!$S$4*($F106-14)),IF($F106&lt;15,Ceilings!$S$6*$F106,Ceilings!$S$6*14+Ceilings!$S$7*($F106-14))))))</f>
        <v/>
      </c>
      <c r="O106" s="450" t="str">
        <f>IF(OR(ISBLANK(D106),ISBLANK(H106),ISBLANK(K106),ISBLANK(L106)),"",IF(L106="0–9 km",0,IF(I106&lt;15,Ceilings!$S$3*I106,Ceilings!$S$3*14+Ceilings!$S$4*(I106-14))))</f>
        <v/>
      </c>
      <c r="P106" s="451" t="str">
        <f>IF(N106="","",$E106*N106+IF(O106="",0,$H106*O106))</f>
        <v/>
      </c>
      <c r="Q106" s="452"/>
      <c r="R106" s="267" t="str">
        <f>IF(OR(ISBLANK($D106),ISBLANK($K106),ISBLANK(Q106)),"",Ceilings!$V$3*Q106)</f>
        <v/>
      </c>
      <c r="S106" s="76" t="str">
        <f t="shared" si="9"/>
        <v/>
      </c>
    </row>
    <row r="107" spans="1:19">
      <c r="E107" s="41">
        <f>SUM(E7:E106)</f>
        <v>0</v>
      </c>
      <c r="H107" s="41">
        <f>SUM(H7:H106)</f>
        <v>0</v>
      </c>
      <c r="Q107" s="41"/>
    </row>
  </sheetData>
  <sheetProtection password="B516" sheet="1" sort="0" autoFilter="0"/>
  <mergeCells count="18">
    <mergeCell ref="B2:C2"/>
    <mergeCell ref="C4:C5"/>
    <mergeCell ref="B4:B5"/>
    <mergeCell ref="E1:H2"/>
    <mergeCell ref="J1:R1"/>
    <mergeCell ref="J2:R2"/>
    <mergeCell ref="S4:S5"/>
    <mergeCell ref="M4:M5"/>
    <mergeCell ref="L4:L5"/>
    <mergeCell ref="K4:K5"/>
    <mergeCell ref="A4:A5"/>
    <mergeCell ref="Q4:R4"/>
    <mergeCell ref="N4:P4"/>
    <mergeCell ref="D4:D5"/>
    <mergeCell ref="E4:E5"/>
    <mergeCell ref="H4:H5"/>
    <mergeCell ref="I4:J5"/>
    <mergeCell ref="F4:G5"/>
  </mergeCells>
  <phoneticPr fontId="7" type="noConversion"/>
  <conditionalFormatting sqref="H7:H36 H106">
    <cfRule type="expression" dxfId="29" priority="18" stopIfTrue="1">
      <formula>LEFT($D7,18)="Short-term blended"</formula>
    </cfRule>
  </conditionalFormatting>
  <conditionalFormatting sqref="Q7:Q36 Q106">
    <cfRule type="expression" dxfId="28" priority="17" stopIfTrue="1">
      <formula>LEFT($D7,4)="Long"</formula>
    </cfRule>
  </conditionalFormatting>
  <conditionalFormatting sqref="K7:K36 K106">
    <cfRule type="expression" priority="11" stopIfTrue="1">
      <formula>ISBLANK(K7)</formula>
    </cfRule>
    <cfRule type="expression" priority="12" stopIfTrue="1">
      <formula>LEFT($D7,16)="Short term joint"</formula>
    </cfRule>
    <cfRule type="cellIs" dxfId="27" priority="13" stopIfTrue="1" operator="equal">
      <formula>$B7</formula>
    </cfRule>
  </conditionalFormatting>
  <conditionalFormatting sqref="H83:H105">
    <cfRule type="expression" dxfId="26" priority="10" stopIfTrue="1">
      <formula>LEFT($D83,18)="Short-term blended"</formula>
    </cfRule>
  </conditionalFormatting>
  <conditionalFormatting sqref="Q83:Q105">
    <cfRule type="expression" dxfId="25" priority="9" stopIfTrue="1">
      <formula>LEFT($D83,4)="Long"</formula>
    </cfRule>
  </conditionalFormatting>
  <conditionalFormatting sqref="K83:K105">
    <cfRule type="expression" priority="6" stopIfTrue="1">
      <formula>ISBLANK(K83)</formula>
    </cfRule>
    <cfRule type="expression" priority="7" stopIfTrue="1">
      <formula>LEFT($D83,16)="Short term joint"</formula>
    </cfRule>
    <cfRule type="cellIs" dxfId="24" priority="8" stopIfTrue="1" operator="equal">
      <formula>$B83</formula>
    </cfRule>
  </conditionalFormatting>
  <conditionalFormatting sqref="H37:H82">
    <cfRule type="expression" dxfId="23" priority="5" stopIfTrue="1">
      <formula>LEFT($D37,18)="Short-term blended"</formula>
    </cfRule>
  </conditionalFormatting>
  <conditionalFormatting sqref="Q37:Q82">
    <cfRule type="expression" dxfId="22" priority="4" stopIfTrue="1">
      <formula>LEFT($D37,4)="Long"</formula>
    </cfRule>
  </conditionalFormatting>
  <conditionalFormatting sqref="K37:K82">
    <cfRule type="expression" priority="1" stopIfTrue="1">
      <formula>ISBLANK(K37)</formula>
    </cfRule>
    <cfRule type="expression" priority="2" stopIfTrue="1">
      <formula>LEFT($D37,16)="Short term joint"</formula>
    </cfRule>
    <cfRule type="cellIs" dxfId="21" priority="3" stopIfTrue="1" operator="equal">
      <formula>$B37</formula>
    </cfRule>
  </conditionalFormatting>
  <dataValidations count="9">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 allowBlank="1" error="Long-term teaching or training assignments &lt; 367 days, otherwise between 5 and 60 days." sqref="G7:G106 J7:J106"/>
    <dataValidation type="list" allowBlank="1" showInputMessage="1" showErrorMessage="1" sqref="L7:L106">
      <formula1>Distances</formula1>
    </dataValidation>
    <dataValidation type="list" allowBlank="1" showInputMessage="1" showErrorMessage="1" sqref="D7:D106">
      <formula1>IF(ISNA(MATCH(B7,PCountries,0)),Activity_t,V_Activity_t)</formula1>
    </dataValidation>
    <dataValidation type="list" allowBlank="1" showInputMessage="1" showErrorMessage="1" sqref="A7:A106">
      <formula1>Partners</formula1>
    </dataValidation>
    <dataValidation type="list" allowBlank="1" showInputMessage="1" showErrorMessage="1" sqref="K7:K106">
      <formula1>CountriesofPs</formula1>
    </dataValidation>
    <dataValidation type="custom" allowBlank="1" showInputMessage="1" showErrorMessage="1" error="It is not possible greater than for participants." sqref="I7:I106">
      <formula1>I7&lt;=F7</formula1>
    </dataValidation>
    <dataValidation type="custom" showInputMessage="1" showErrorMessage="1" sqref="H7:H106">
      <formula1>LEFT($D7,18)="Short-term blended"</formula1>
    </dataValidation>
    <dataValidation type="custom" showInputMessage="1" showErrorMessage="1" sqref="Q7:Q106">
      <formula1>LEFT($D7,4)="Long"</formula1>
    </dataValidation>
  </dataValidations>
  <printOptions horizontalCentered="1"/>
  <pageMargins left="0.27559055118110237" right="0.27559055118110237" top="0.6635416666666667" bottom="0.6692913385826772" header="0.34270833333333334" footer="0.51181102362204722"/>
  <pageSetup paperSize="9" scale="60" fitToHeight="4" orientation="landscape" r:id="rId1"/>
  <headerFooter scaleWithDoc="0">
    <oddHeader>&amp;C&amp;11 2020 - C2  E+ KA226 - HED&amp;RVersion: 2020.09.08. - TKA</oddHeader>
    <oddFooter>&amp;C&amp;"Arial,Félkövér"&amp;A</oddFooter>
  </headerFooter>
  <rowBreaks count="1" manualBreakCount="1">
    <brk id="39" max="18"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17</vt:i4>
      </vt:variant>
      <vt:variant>
        <vt:lpstr>Névvel ellátott tartományok</vt:lpstr>
      </vt:variant>
      <vt:variant>
        <vt:i4>44</vt:i4>
      </vt:variant>
    </vt:vector>
  </HeadingPairs>
  <TitlesOfParts>
    <vt:vector size="61" baseType="lpstr">
      <vt:lpstr>Kitöltési útmutató</vt:lpstr>
      <vt:lpstr>Overview</vt:lpstr>
      <vt:lpstr>Munkaterv-GANTT</vt:lpstr>
      <vt:lpstr>Management</vt:lpstr>
      <vt:lpstr>Partner meetings</vt:lpstr>
      <vt:lpstr>Intellectual outputs</vt:lpstr>
      <vt:lpstr>Multiplier events</vt:lpstr>
      <vt:lpstr>HED Transnat. training-teaching</vt:lpstr>
      <vt:lpstr>VET Transnat. training-teaching</vt:lpstr>
      <vt:lpstr>ADU Transnat. training-teaching</vt:lpstr>
      <vt:lpstr>SCH Transnat. training-teaching</vt:lpstr>
      <vt:lpstr>YOU Transnat. training-teach</vt:lpstr>
      <vt:lpstr>Exceptional costs</vt:lpstr>
      <vt:lpstr>Except. costs - ExpensiveTravel</vt:lpstr>
      <vt:lpstr>Special needs</vt:lpstr>
      <vt:lpstr>Total grant requested</vt:lpstr>
      <vt:lpstr>Ceilings</vt:lpstr>
      <vt:lpstr>A_Activity_t</vt:lpstr>
      <vt:lpstr>Activity_t</vt:lpstr>
      <vt:lpstr>Ceilings</vt:lpstr>
      <vt:lpstr>Countries</vt:lpstr>
      <vt:lpstr>CountriesofPs</vt:lpstr>
      <vt:lpstr>dCountries</vt:lpstr>
      <vt:lpstr>Distances</vt:lpstr>
      <vt:lpstr>Duration</vt:lpstr>
      <vt:lpstr>End</vt:lpstr>
      <vt:lpstr>EUint</vt:lpstr>
      <vt:lpstr>H_Activity_t</vt:lpstr>
      <vt:lpstr>Limit</vt:lpstr>
      <vt:lpstr>'ADU Transnat. training-teaching'!Nyomtatási_cím</vt:lpstr>
      <vt:lpstr>'Except. costs - ExpensiveTravel'!Nyomtatási_cím</vt:lpstr>
      <vt:lpstr>'Exceptional costs'!Nyomtatási_cím</vt:lpstr>
      <vt:lpstr>'HED Transnat. training-teaching'!Nyomtatási_cím</vt:lpstr>
      <vt:lpstr>'Intellectual outputs'!Nyomtatási_cím</vt:lpstr>
      <vt:lpstr>'Multiplier events'!Nyomtatási_cím</vt:lpstr>
      <vt:lpstr>'Partner meetings'!Nyomtatási_cím</vt:lpstr>
      <vt:lpstr>'SCH Transnat. training-teaching'!Nyomtatási_cím</vt:lpstr>
      <vt:lpstr>'Special needs'!Nyomtatási_cím</vt:lpstr>
      <vt:lpstr>'VET Transnat. training-teaching'!Nyomtatási_cím</vt:lpstr>
      <vt:lpstr>'YOU Transnat. training-teach'!Nyomtatási_cím</vt:lpstr>
      <vt:lpstr>Ceilings!Nyomtatási_terület</vt:lpstr>
      <vt:lpstr>'Except. costs - ExpensiveTravel'!Nyomtatási_terület</vt:lpstr>
      <vt:lpstr>'Exceptional costs'!Nyomtatási_terület</vt:lpstr>
      <vt:lpstr>'Kitöltési útmutató'!Nyomtatási_terület</vt:lpstr>
      <vt:lpstr>Management!Nyomtatási_terület</vt:lpstr>
      <vt:lpstr>'Multiplier events'!Nyomtatási_terület</vt:lpstr>
      <vt:lpstr>'Partner meetings'!Nyomtatási_terület</vt:lpstr>
      <vt:lpstr>'Total grant requested'!Nyomtatási_terület</vt:lpstr>
      <vt:lpstr>'VET Transnat. training-teaching'!Nyomtatási_terület</vt:lpstr>
      <vt:lpstr>Partners</vt:lpstr>
      <vt:lpstr>Partners1</vt:lpstr>
      <vt:lpstr>PCountries</vt:lpstr>
      <vt:lpstr>Rates</vt:lpstr>
      <vt:lpstr>S_Activity_t</vt:lpstr>
      <vt:lpstr>Semmi</vt:lpstr>
      <vt:lpstr>Start</vt:lpstr>
      <vt:lpstr>Subsistence</vt:lpstr>
      <vt:lpstr>Topup</vt:lpstr>
      <vt:lpstr>TravelGrant</vt:lpstr>
      <vt:lpstr>V_Activity_t</vt:lpstr>
      <vt:lpstr>Y_Activity_t</vt:lpstr>
    </vt:vector>
  </TitlesOfParts>
  <Company>TKA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 KA2 VET stratégiai partnerségi pályázatok</dc:title>
  <dc:creator>JBajan</dc:creator>
  <dc:description/>
  <cp:lastModifiedBy>Jakabné Baján Ilona</cp:lastModifiedBy>
  <cp:lastPrinted>2017-02-07T13:08:58Z</cp:lastPrinted>
  <dcterms:created xsi:type="dcterms:W3CDTF">2006-12-14T08:14:57Z</dcterms:created>
  <dcterms:modified xsi:type="dcterms:W3CDTF">2020-09-08T14:35:48Z</dcterms:modified>
</cp:coreProperties>
</file>